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mc:AlternateContent xmlns:mc="http://schemas.openxmlformats.org/markup-compatibility/2006">
    <mc:Choice Requires="x15">
      <x15ac:absPath xmlns:x15ac="http://schemas.microsoft.com/office/spreadsheetml/2010/11/ac" url="\\Hyperion\pncd\P&amp;D\1 New File System\Arthur @ Blackstone (fka Blackstone and Simpson)\FINANCE\TCAC (Round 1 2021)\2021 FINAL TCAC Submission Folder\TAB 00 - Excel Workbook\"/>
    </mc:Choice>
  </mc:AlternateContent>
  <bookViews>
    <workbookView xWindow="0" yWindow="0" windowWidth="28800" windowHeight="12300" tabRatio="786" activeTab="3"/>
  </bookViews>
  <sheets>
    <sheet name="Instructions-App Completion" sheetId="1" r:id="rId1"/>
    <sheet name="Instructions-Electronic Submit" sheetId="2" r:id="rId2"/>
    <sheet name="Checklist Items" sheetId="21" r:id="rId3"/>
    <sheet name="Application" sheetId="3" r:id="rId4"/>
    <sheet name="Sources and Uses Budget" sheetId="4" r:id="rId5"/>
    <sheet name="Sources and Basis Breakdown" sheetId="18" r:id="rId6"/>
    <sheet name="Basis &amp; Credits" sheetId="5" r:id="rId7"/>
    <sheet name="Points System" sheetId="6" r:id="rId8"/>
    <sheet name="Service Amenities Budget" sheetId="7" r:id="rId9"/>
    <sheet name="Final Tie Breaker "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externalReferences>
    <externalReference r:id="rId18"/>
    <externalReference r:id="rId19"/>
    <externalReference r:id="rId20"/>
  </externalReferences>
  <definedNames>
    <definedName name="_xlnm._FilterDatabase" localSheetId="3" hidden="1">Application!$884:$1016</definedName>
    <definedName name="Alameda">Application!$BP$687:$BV$744</definedName>
    <definedName name="bedrooms" localSheetId="2">[1]Application!$BC$673:$BI$673</definedName>
    <definedName name="bedrooms" localSheetId="9">[2]Application!$BC$682:$BI$682</definedName>
    <definedName name="bedrooms">Application!$BP$686:$BV$686</definedName>
    <definedName name="Counties" localSheetId="15">#REF!</definedName>
    <definedName name="Counties" localSheetId="9">#REF!</definedName>
    <definedName name="Counties" localSheetId="14">#REF!</definedName>
    <definedName name="Counties">#REF!</definedName>
    <definedName name="FMRS" localSheetId="15">#REF!</definedName>
    <definedName name="FMRS" localSheetId="9">#REF!</definedName>
    <definedName name="FMRS" localSheetId="14">#REF!</definedName>
    <definedName name="FMRS">#REF!</definedName>
    <definedName name="importme" localSheetId="15">#REF!</definedName>
    <definedName name="importme" localSheetId="9">#REF!</definedName>
    <definedName name="importme" localSheetId="14">#REF!</definedName>
    <definedName name="importme">#REF!</definedName>
    <definedName name="my_lookup_counties" localSheetId="15">#REF!</definedName>
    <definedName name="my_lookup_counties" localSheetId="9">#REF!</definedName>
    <definedName name="my_lookup_counties" localSheetId="14">#REF!</definedName>
    <definedName name="my_lookup_counties">#REF!</definedName>
    <definedName name="PRINT" localSheetId="9">'[3]Basis Matrix'!$A$1:$H$145</definedName>
    <definedName name="PRINT">'[3]Basis Matrix'!$A$1:$H$145</definedName>
    <definedName name="_xlnm.Print_Area" localSheetId="10">'15 Year Pro Forma'!$A$1:$AH$78</definedName>
    <definedName name="_xlnm.Print_Area" localSheetId="6">'Basis &amp; Credits'!$A$1:$AN$81</definedName>
    <definedName name="_xlnm.Print_Area" localSheetId="2">'Checklist Items'!$A$1:$G$1245</definedName>
    <definedName name="_xlnm.Print_Area" localSheetId="15">'FCE Basis and Credits'!$A$1:$AN$81</definedName>
    <definedName name="_xlnm.Print_Area" localSheetId="9">'Final Tie Breaker '!$A$1:$S$110</definedName>
    <definedName name="_xlnm.Print_Area" localSheetId="0">'Instructions-App Completion'!$A$1:$AL$411</definedName>
    <definedName name="_xlnm.Print_Area" localSheetId="1">'Instructions-Electronic Submit'!$A$1:$J$74</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8">'Service Amenities Budget'!$A$1:$BS$40</definedName>
    <definedName name="_xlnm.Print_Area" localSheetId="5">'Sources and Basis Breakdown'!$A$1:$J$104</definedName>
    <definedName name="_xlnm.Print_Area" localSheetId="4">'Sources and Uses Budget'!$A$1:$T$142</definedName>
    <definedName name="_xlnm.Print_Area" localSheetId="11">'Subsidy Contract Calculation'!$A$1:$I$34</definedName>
    <definedName name="_xlnm.Print_Titles" localSheetId="16">'Post-award Project Cost Changes'!$2:$3</definedName>
    <definedName name="_xlnm.Print_Titles" localSheetId="5">'Sources and Basis Breakdown'!$1:$2</definedName>
    <definedName name="_xlnm.Print_Titles" localSheetId="4">'Sources and Uses Budget'!$1:$2</definedName>
    <definedName name="PRINT1" localSheetId="9">[3]Feasibility!$X$4:$AL$75</definedName>
    <definedName name="PRINT1">[3]Feasibility!$X$4:$AL$75</definedName>
    <definedName name="PRINT2" localSheetId="9">[3]Feasibility!$X$78:$AM$145</definedName>
    <definedName name="PRINT2">[3]Feasibility!$X$78:$AM$145</definedName>
    <definedName name="PRINT3" localSheetId="9">[3]Feasibility!$A$152:$L$224</definedName>
    <definedName name="PRINT3">[3]Feasibility!$A$152:$L$224</definedName>
    <definedName name="PRINT4" localSheetId="9">[3]Feasibility!$A$225:$L$310</definedName>
    <definedName name="PRINT4">[3]Feasibility!$A$225:$L$310</definedName>
    <definedName name="set_aside" localSheetId="2">[1]Application!$AP$211:$AP$220</definedName>
    <definedName name="set_aside">Application!$AX$194:$AX$204</definedName>
    <definedName name="TC_Rent" localSheetId="2">[1]Application!$BC$674:$BI$731</definedName>
    <definedName name="TC_Rent" localSheetId="9">[2]Application!$BC$683:$BI$740</definedName>
    <definedName name="TC_Rent">Application!$BP$687:$BV$744</definedName>
    <definedName name="Z_48A1B9AA_9520_4513_968D_1FB22989E0AF_.wvu.Cols" localSheetId="3" hidden="1">Application!$AM:$IW</definedName>
    <definedName name="Z_48A1B9AA_9520_4513_968D_1FB22989E0AF_.wvu.Cols" localSheetId="6"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5" hidden="1">'Sources and Basis Breakdown'!$K:$IV</definedName>
    <definedName name="Z_48A1B9AA_9520_4513_968D_1FB22989E0AF_.wvu.Cols" localSheetId="4" hidden="1">'Sources and Uses Budget'!$V:$IV</definedName>
    <definedName name="Z_48A1B9AA_9520_4513_968D_1FB22989E0AF_.wvu.FilterData" localSheetId="3" hidden="1">Application!$884:$1016</definedName>
    <definedName name="Z_48A1B9AA_9520_4513_968D_1FB22989E0AF_.wvu.PrintArea" localSheetId="10" hidden="1">'15 Year Pro Forma'!$A$1:$AH$78</definedName>
    <definedName name="Z_48A1B9AA_9520_4513_968D_1FB22989E0AF_.wvu.PrintArea" localSheetId="3" hidden="1">Application!$A$1:$AL$1056</definedName>
    <definedName name="Z_48A1B9AA_9520_4513_968D_1FB22989E0AF_.wvu.PrintArea" localSheetId="6" hidden="1">'Basis &amp; Credits'!$A$1:$AN$81</definedName>
    <definedName name="Z_48A1B9AA_9520_4513_968D_1FB22989E0AF_.wvu.PrintArea" localSheetId="2" hidden="1">'Checklist Items'!$A$1:$G$1246</definedName>
    <definedName name="Z_48A1B9AA_9520_4513_968D_1FB22989E0AF_.wvu.PrintArea" localSheetId="15" hidden="1">'FCE Basis and Credits'!$A$1:$AN$81</definedName>
    <definedName name="Z_48A1B9AA_9520_4513_968D_1FB22989E0AF_.wvu.PrintArea" localSheetId="9" hidden="1">'Final Tie Breaker '!$A:$S</definedName>
    <definedName name="Z_48A1B9AA_9520_4513_968D_1FB22989E0AF_.wvu.PrintArea" localSheetId="0" hidden="1">'Instructions-App Completion'!$A$1:$AL$411</definedName>
    <definedName name="Z_48A1B9AA_9520_4513_968D_1FB22989E0AF_.wvu.PrintArea" localSheetId="7" hidden="1">'Points System'!$A$1:$AM$705</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8" hidden="1">'Service Amenities Budget'!$A$1:$K$41</definedName>
    <definedName name="Z_48A1B9AA_9520_4513_968D_1FB22989E0AF_.wvu.PrintArea" localSheetId="5" hidden="1">'Sources and Basis Breakdown'!$A$1:$J$105</definedName>
    <definedName name="Z_48A1B9AA_9520_4513_968D_1FB22989E0AF_.wvu.PrintArea" localSheetId="4" hidden="1">'Sources and Uses Budget'!$A$1:$T$142</definedName>
    <definedName name="Z_48A1B9AA_9520_4513_968D_1FB22989E0AF_.wvu.PrintTitles" localSheetId="16" hidden="1">'Post-award Project Cost Changes'!$2:$3</definedName>
    <definedName name="Z_48A1B9AA_9520_4513_968D_1FB22989E0AF_.wvu.PrintTitles" localSheetId="5" hidden="1">'Sources and Basis Breakdown'!$1:$2</definedName>
    <definedName name="Z_48A1B9AA_9520_4513_968D_1FB22989E0AF_.wvu.PrintTitles" localSheetId="4" hidden="1">'Sources and Uses Budget'!$1:$2</definedName>
    <definedName name="Z_48A1B9AA_9520_4513_968D_1FB22989E0AF_.wvu.Rows" localSheetId="3" hidden="1">Application!$1089:$65565</definedName>
    <definedName name="Z_48A1B9AA_9520_4513_968D_1FB22989E0AF_.wvu.Rows" localSheetId="6" hidden="1">'Basis &amp; Credits'!$90:$65525,'Basis &amp; Credits'!$82:$89</definedName>
    <definedName name="Z_48A1B9AA_9520_4513_968D_1FB22989E0AF_.wvu.Rows" localSheetId="2" hidden="1">'Checklist Items'!#REF!,'Checklist Items'!$1246:$1246</definedName>
    <definedName name="Z_48A1B9AA_9520_4513_968D_1FB22989E0AF_.wvu.Rows" localSheetId="15" hidden="1">'FCE Basis and Credits'!$90:$65525,'FCE Basis and Credits'!$82:$89</definedName>
    <definedName name="Z_48A1B9AA_9520_4513_968D_1FB22989E0AF_.wvu.Rows" localSheetId="9" hidden="1">'Final Tie Breaker '!$62:$67,'Final Tie Breaker '!$72:$72</definedName>
    <definedName name="Z_48A1B9AA_9520_4513_968D_1FB22989E0AF_.wvu.Rows" localSheetId="0" hidden="1">'Instructions-App Completion'!#REF!,'Instructions-App Completion'!#REF!</definedName>
    <definedName name="Z_48A1B9AA_9520_4513_968D_1FB22989E0AF_.wvu.Rows" localSheetId="7" hidden="1">'Points System'!$768:$65527,'Points System'!$711:$767</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s>
  <calcPr calcId="162913" calcMode="manual" iterate="1"/>
  <customWorkbookViews>
    <customWorkbookView name="Chen, Zhuo - Personal View" guid="{48A1B9AA-9520-4513-968D-1FB22989E0AF}" mergeInterval="0" personalView="1" xWindow="-1172" windowWidth="1152" windowHeight="985" tabRatio="786" activeSheetId="1"/>
  </customWorkbookViews>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U630" i="3" l="1"/>
  <c r="Q89" i="25"/>
  <c r="C30" i="10"/>
  <c r="H10" i="10"/>
  <c r="T706" i="3"/>
  <c r="C6" i="10"/>
  <c r="H6" i="10"/>
  <c r="I6" i="10" s="1"/>
  <c r="E16" i="9"/>
  <c r="E19" i="9"/>
  <c r="G19" i="9"/>
  <c r="I19" i="9" s="1"/>
  <c r="K19" i="9" s="1"/>
  <c r="M19" i="9" s="1"/>
  <c r="O19" i="9" s="1"/>
  <c r="Q19" i="9" s="1"/>
  <c r="S19" i="9" s="1"/>
  <c r="U19" i="9" s="1"/>
  <c r="W19" i="9" s="1"/>
  <c r="Y19" i="9" s="1"/>
  <c r="AA19" i="9" s="1"/>
  <c r="AC19" i="9" s="1"/>
  <c r="AE19" i="9" s="1"/>
  <c r="AG19" i="9" s="1"/>
  <c r="E26" i="9"/>
  <c r="G26" i="9" s="1"/>
  <c r="I26" i="9" s="1"/>
  <c r="K26" i="9" s="1"/>
  <c r="M26" i="9" s="1"/>
  <c r="O26" i="9" s="1"/>
  <c r="Q26" i="9" s="1"/>
  <c r="S26" i="9" s="1"/>
  <c r="U26" i="9" s="1"/>
  <c r="W26" i="9" s="1"/>
  <c r="Y26" i="9" s="1"/>
  <c r="AA26" i="9" s="1"/>
  <c r="AC26" i="9" s="1"/>
  <c r="AE26" i="9" s="1"/>
  <c r="AG26" i="9" s="1"/>
  <c r="E27" i="9"/>
  <c r="G27" i="9"/>
  <c r="I27" i="9" s="1"/>
  <c r="K27" i="9" s="1"/>
  <c r="M27" i="9" s="1"/>
  <c r="O27" i="9" s="1"/>
  <c r="Q27" i="9" s="1"/>
  <c r="S27" i="9" s="1"/>
  <c r="U27" i="9" s="1"/>
  <c r="W27" i="9" s="1"/>
  <c r="Y27" i="9" s="1"/>
  <c r="AA27" i="9" s="1"/>
  <c r="AC27" i="9" s="1"/>
  <c r="AE27" i="9" s="1"/>
  <c r="AG27" i="9" s="1"/>
  <c r="E28" i="9"/>
  <c r="E29" i="9"/>
  <c r="E30" i="9"/>
  <c r="E31" i="9"/>
  <c r="G31" i="9"/>
  <c r="I31" i="9" s="1"/>
  <c r="K31" i="9" s="1"/>
  <c r="M31" i="9" s="1"/>
  <c r="O31" i="9" s="1"/>
  <c r="Q31" i="9" s="1"/>
  <c r="S31" i="9" s="1"/>
  <c r="U31" i="9" s="1"/>
  <c r="W31" i="9" s="1"/>
  <c r="Y31" i="9" s="1"/>
  <c r="AA31" i="9" s="1"/>
  <c r="AC31" i="9" s="1"/>
  <c r="AE31" i="9" s="1"/>
  <c r="AG31" i="9" s="1"/>
  <c r="E32" i="9"/>
  <c r="E33" i="9"/>
  <c r="E40" i="9"/>
  <c r="E43" i="9" s="1"/>
  <c r="E91" i="25"/>
  <c r="E90" i="25"/>
  <c r="S46" i="4"/>
  <c r="C46" i="4"/>
  <c r="C47" i="15"/>
  <c r="E47" i="15" s="1"/>
  <c r="E75" i="9"/>
  <c r="G29" i="9"/>
  <c r="I29" i="9" s="1"/>
  <c r="K29" i="9" s="1"/>
  <c r="M29" i="9" s="1"/>
  <c r="O29" i="9" s="1"/>
  <c r="Q29" i="9" s="1"/>
  <c r="S29" i="9" s="1"/>
  <c r="U29" i="9" s="1"/>
  <c r="W29" i="9" s="1"/>
  <c r="Y29" i="9" s="1"/>
  <c r="AA29" i="9" s="1"/>
  <c r="AC29" i="9" s="1"/>
  <c r="AE29" i="9" s="1"/>
  <c r="AG29" i="9" s="1"/>
  <c r="G16" i="9"/>
  <c r="I16" i="9"/>
  <c r="K16" i="9" s="1"/>
  <c r="M16" i="9" s="1"/>
  <c r="O16" i="9" s="1"/>
  <c r="Q16" i="9" s="1"/>
  <c r="S16" i="9" s="1"/>
  <c r="U16" i="9" s="1"/>
  <c r="W16" i="9" s="1"/>
  <c r="Y16" i="9" s="1"/>
  <c r="AA16" i="9" s="1"/>
  <c r="AC16" i="9" s="1"/>
  <c r="AE16" i="9" s="1"/>
  <c r="AG16" i="9" s="1"/>
  <c r="AG28" i="9"/>
  <c r="G30" i="9"/>
  <c r="I30" i="9" s="1"/>
  <c r="K30" i="9" s="1"/>
  <c r="M30" i="9" s="1"/>
  <c r="O30" i="9" s="1"/>
  <c r="Q30" i="9" s="1"/>
  <c r="S30" i="9" s="1"/>
  <c r="U30" i="9" s="1"/>
  <c r="W30" i="9" s="1"/>
  <c r="Y30" i="9" s="1"/>
  <c r="AA30" i="9" s="1"/>
  <c r="AC30" i="9" s="1"/>
  <c r="AE30" i="9" s="1"/>
  <c r="AG30" i="9" s="1"/>
  <c r="G32" i="9"/>
  <c r="I32" i="9"/>
  <c r="K32" i="9"/>
  <c r="M32" i="9" s="1"/>
  <c r="O32" i="9" s="1"/>
  <c r="Q32" i="9" s="1"/>
  <c r="S32" i="9" s="1"/>
  <c r="U32" i="9" s="1"/>
  <c r="W32" i="9" s="1"/>
  <c r="Y32" i="9" s="1"/>
  <c r="AA32" i="9" s="1"/>
  <c r="AC32" i="9" s="1"/>
  <c r="AE32" i="9" s="1"/>
  <c r="AG32" i="9" s="1"/>
  <c r="G33" i="9"/>
  <c r="I33" i="9"/>
  <c r="K33" i="9" s="1"/>
  <c r="M33" i="9" s="1"/>
  <c r="O33" i="9" s="1"/>
  <c r="Q33" i="9" s="1"/>
  <c r="S33" i="9" s="1"/>
  <c r="U33" i="9" s="1"/>
  <c r="W33" i="9" s="1"/>
  <c r="Y33" i="9" s="1"/>
  <c r="AA33" i="9" s="1"/>
  <c r="AC33" i="9" s="1"/>
  <c r="AE33" i="9" s="1"/>
  <c r="AG33" i="9" s="1"/>
  <c r="AE28" i="9"/>
  <c r="G54" i="9"/>
  <c r="I54" i="9" s="1"/>
  <c r="K54" i="9" s="1"/>
  <c r="M54" i="9" s="1"/>
  <c r="O54" i="9" s="1"/>
  <c r="Q54" i="9" s="1"/>
  <c r="S54" i="9" s="1"/>
  <c r="U54" i="9" s="1"/>
  <c r="W54" i="9" s="1"/>
  <c r="Y54" i="9" s="1"/>
  <c r="AA54" i="9" s="1"/>
  <c r="AC54" i="9" s="1"/>
  <c r="AE54" i="9" s="1"/>
  <c r="AG54" i="9" s="1"/>
  <c r="E45" i="25"/>
  <c r="E44" i="25"/>
  <c r="E43" i="25"/>
  <c r="E42" i="25"/>
  <c r="B45" i="25"/>
  <c r="B44" i="25"/>
  <c r="B43" i="25"/>
  <c r="B42" i="25"/>
  <c r="C80" i="4"/>
  <c r="D80" i="4"/>
  <c r="S78" i="4"/>
  <c r="B78" i="4"/>
  <c r="E78" i="4" s="1"/>
  <c r="B45" i="4"/>
  <c r="E45" i="4"/>
  <c r="R45" i="4" s="1"/>
  <c r="K72" i="4"/>
  <c r="K76" i="4"/>
  <c r="J30" i="4"/>
  <c r="I30" i="4"/>
  <c r="H30" i="4"/>
  <c r="F30" i="4"/>
  <c r="S93" i="4"/>
  <c r="S51" i="4"/>
  <c r="S49" i="4"/>
  <c r="S53" i="4"/>
  <c r="E51" i="18" s="1"/>
  <c r="S98" i="4"/>
  <c r="S91" i="4"/>
  <c r="S90" i="4"/>
  <c r="S88" i="4"/>
  <c r="S85" i="4"/>
  <c r="S84" i="4"/>
  <c r="S83" i="4"/>
  <c r="S79" i="4"/>
  <c r="S80" i="4"/>
  <c r="E78" i="18" s="1"/>
  <c r="S43" i="4"/>
  <c r="S40" i="4"/>
  <c r="S37" i="4"/>
  <c r="S36" i="4"/>
  <c r="S35" i="4"/>
  <c r="S34" i="4"/>
  <c r="S33" i="4"/>
  <c r="S32" i="4"/>
  <c r="S31" i="4"/>
  <c r="S30" i="4"/>
  <c r="S10" i="4"/>
  <c r="C87" i="4"/>
  <c r="B84" i="4"/>
  <c r="E84" i="4" s="1"/>
  <c r="R84" i="4" s="1"/>
  <c r="B74" i="4"/>
  <c r="E74" i="4" s="1"/>
  <c r="R74" i="4" s="1"/>
  <c r="AF634" i="3"/>
  <c r="DR602" i="3"/>
  <c r="DR603" i="3"/>
  <c r="DR604" i="3"/>
  <c r="DR605" i="3"/>
  <c r="DR606" i="3"/>
  <c r="DR607" i="3"/>
  <c r="DR608" i="3"/>
  <c r="DR609" i="3"/>
  <c r="DR610" i="3"/>
  <c r="DR611" i="3"/>
  <c r="DR612" i="3"/>
  <c r="DR613" i="3"/>
  <c r="DR614" i="3"/>
  <c r="DR615" i="3"/>
  <c r="DR616" i="3"/>
  <c r="DR617" i="3"/>
  <c r="DR618" i="3"/>
  <c r="DR619" i="3"/>
  <c r="DR620" i="3"/>
  <c r="DR621" i="3"/>
  <c r="DR622" i="3"/>
  <c r="DR623" i="3"/>
  <c r="DR624" i="3"/>
  <c r="DR625" i="3"/>
  <c r="DR601" i="3"/>
  <c r="DM602" i="3"/>
  <c r="DM603" i="3"/>
  <c r="DM604" i="3"/>
  <c r="DM605" i="3"/>
  <c r="DM606" i="3"/>
  <c r="DM607" i="3"/>
  <c r="DM608" i="3"/>
  <c r="DM609" i="3"/>
  <c r="DM610" i="3"/>
  <c r="DM611" i="3"/>
  <c r="DM612" i="3"/>
  <c r="DM613" i="3"/>
  <c r="DM614" i="3"/>
  <c r="DM615" i="3"/>
  <c r="DM616" i="3"/>
  <c r="DM617" i="3"/>
  <c r="DM618" i="3"/>
  <c r="DM619" i="3"/>
  <c r="DM620" i="3"/>
  <c r="DM621" i="3"/>
  <c r="DM622" i="3"/>
  <c r="DM623" i="3"/>
  <c r="DM624" i="3"/>
  <c r="DM625" i="3"/>
  <c r="DM601" i="3"/>
  <c r="DH602" i="3"/>
  <c r="DH603" i="3"/>
  <c r="DH604" i="3"/>
  <c r="DH605" i="3"/>
  <c r="DH606" i="3"/>
  <c r="DH607" i="3"/>
  <c r="DH608" i="3"/>
  <c r="DH609" i="3"/>
  <c r="DH610" i="3"/>
  <c r="DH611" i="3"/>
  <c r="DH612" i="3"/>
  <c r="DH613" i="3"/>
  <c r="DH614" i="3"/>
  <c r="DH615" i="3"/>
  <c r="DH616" i="3"/>
  <c r="DH617" i="3"/>
  <c r="DH618" i="3"/>
  <c r="DH619" i="3"/>
  <c r="DH620" i="3"/>
  <c r="DH621" i="3"/>
  <c r="DH622" i="3"/>
  <c r="DH623" i="3"/>
  <c r="DH624" i="3"/>
  <c r="DH625" i="3"/>
  <c r="DH601" i="3"/>
  <c r="DC602" i="3"/>
  <c r="DC603" i="3"/>
  <c r="DC604" i="3"/>
  <c r="DC605" i="3"/>
  <c r="DC606" i="3"/>
  <c r="DC607" i="3"/>
  <c r="DC608" i="3"/>
  <c r="DC609" i="3"/>
  <c r="DC610" i="3"/>
  <c r="DC611" i="3"/>
  <c r="DC612" i="3"/>
  <c r="DC613" i="3"/>
  <c r="DC614" i="3"/>
  <c r="DC615" i="3"/>
  <c r="DC616" i="3"/>
  <c r="DC617" i="3"/>
  <c r="DC618" i="3"/>
  <c r="DC619" i="3"/>
  <c r="DC620" i="3"/>
  <c r="DC621" i="3"/>
  <c r="DC622" i="3"/>
  <c r="DC623" i="3"/>
  <c r="DC624" i="3"/>
  <c r="DC625" i="3"/>
  <c r="DC601" i="3"/>
  <c r="CX602" i="3"/>
  <c r="CX603" i="3"/>
  <c r="CX604" i="3"/>
  <c r="CX605" i="3"/>
  <c r="CX606" i="3"/>
  <c r="CX607" i="3"/>
  <c r="CX608" i="3"/>
  <c r="CX609" i="3"/>
  <c r="CX610" i="3"/>
  <c r="CX611" i="3"/>
  <c r="CX612" i="3"/>
  <c r="CX613" i="3"/>
  <c r="CX614" i="3"/>
  <c r="CX615" i="3"/>
  <c r="CX616" i="3"/>
  <c r="CX617" i="3"/>
  <c r="CX618" i="3"/>
  <c r="CX619" i="3"/>
  <c r="CX620" i="3"/>
  <c r="CX621" i="3"/>
  <c r="CX622" i="3"/>
  <c r="CX623" i="3"/>
  <c r="CX624" i="3"/>
  <c r="CX625" i="3"/>
  <c r="CX601" i="3"/>
  <c r="CS602" i="3"/>
  <c r="CS603" i="3"/>
  <c r="CS604" i="3"/>
  <c r="CS605" i="3"/>
  <c r="CS606" i="3"/>
  <c r="CS607" i="3"/>
  <c r="CS608" i="3"/>
  <c r="CS609" i="3"/>
  <c r="CS610" i="3"/>
  <c r="CS611" i="3"/>
  <c r="CS612" i="3"/>
  <c r="CS613" i="3"/>
  <c r="CS614" i="3"/>
  <c r="CS615" i="3"/>
  <c r="CS616" i="3"/>
  <c r="CS617" i="3"/>
  <c r="CS618" i="3"/>
  <c r="CS619" i="3"/>
  <c r="CS620" i="3"/>
  <c r="CS621" i="3"/>
  <c r="CS622" i="3"/>
  <c r="CS623" i="3"/>
  <c r="CS624" i="3"/>
  <c r="CS625" i="3"/>
  <c r="CS601" i="3"/>
  <c r="BI602" i="3"/>
  <c r="BI603" i="3"/>
  <c r="BI604" i="3"/>
  <c r="BI605" i="3"/>
  <c r="BI606" i="3"/>
  <c r="BI607" i="3"/>
  <c r="BI608" i="3"/>
  <c r="BI609" i="3"/>
  <c r="BI610" i="3"/>
  <c r="BI611" i="3"/>
  <c r="BI612" i="3"/>
  <c r="BI613" i="3"/>
  <c r="BI614" i="3"/>
  <c r="BI615" i="3"/>
  <c r="BI616" i="3"/>
  <c r="BI617" i="3"/>
  <c r="BI618" i="3"/>
  <c r="BI619" i="3"/>
  <c r="BI620" i="3"/>
  <c r="BI621" i="3"/>
  <c r="BI622" i="3"/>
  <c r="BI623" i="3"/>
  <c r="BI624" i="3"/>
  <c r="BI625" i="3"/>
  <c r="BI601" i="3"/>
  <c r="BE602" i="3"/>
  <c r="BE603" i="3"/>
  <c r="BE604" i="3"/>
  <c r="BE605" i="3"/>
  <c r="BE606" i="3"/>
  <c r="BE607" i="3"/>
  <c r="BE608" i="3"/>
  <c r="BE609" i="3"/>
  <c r="BE610" i="3"/>
  <c r="BE611" i="3"/>
  <c r="BE612" i="3"/>
  <c r="BE613" i="3"/>
  <c r="BE614" i="3"/>
  <c r="BE615" i="3"/>
  <c r="BE616" i="3"/>
  <c r="BE617" i="3"/>
  <c r="BE618" i="3"/>
  <c r="BE619" i="3"/>
  <c r="BE620" i="3"/>
  <c r="BE621" i="3"/>
  <c r="BE622" i="3"/>
  <c r="BE623" i="3"/>
  <c r="BE624" i="3"/>
  <c r="BE625" i="3"/>
  <c r="BE601" i="3"/>
  <c r="J107" i="4"/>
  <c r="K107" i="4"/>
  <c r="L107" i="4"/>
  <c r="M107" i="4"/>
  <c r="N107" i="4"/>
  <c r="O107" i="4"/>
  <c r="P107" i="4"/>
  <c r="Q107" i="4"/>
  <c r="I107" i="4"/>
  <c r="H107" i="4"/>
  <c r="G107" i="4"/>
  <c r="F107" i="4"/>
  <c r="E107" i="4"/>
  <c r="AF411" i="3"/>
  <c r="C8" i="4"/>
  <c r="C11" i="4"/>
  <c r="C38" i="4"/>
  <c r="B39" i="15" s="1"/>
  <c r="C42" i="4"/>
  <c r="B43" i="15" s="1"/>
  <c r="C61" i="4"/>
  <c r="D62" i="15" s="1"/>
  <c r="C95" i="4"/>
  <c r="C96" i="15" s="1"/>
  <c r="E96" i="15" s="1"/>
  <c r="C69" i="4"/>
  <c r="C70" i="15"/>
  <c r="C76" i="4"/>
  <c r="B77" i="15" s="1"/>
  <c r="C77" i="15"/>
  <c r="C103" i="4"/>
  <c r="B104" i="15" s="1"/>
  <c r="E104" i="15" s="1"/>
  <c r="B100" i="15"/>
  <c r="C100" i="15"/>
  <c r="E100" i="15" s="1"/>
  <c r="D100" i="15"/>
  <c r="B101" i="15"/>
  <c r="C101" i="15"/>
  <c r="D101" i="15"/>
  <c r="B102" i="15"/>
  <c r="C102" i="15"/>
  <c r="D102" i="15"/>
  <c r="B103" i="15"/>
  <c r="C103" i="15"/>
  <c r="E103" i="15"/>
  <c r="D103" i="15"/>
  <c r="C104" i="15"/>
  <c r="D99" i="15"/>
  <c r="C99" i="15"/>
  <c r="E99" i="15" s="1"/>
  <c r="B99" i="15"/>
  <c r="B84" i="15"/>
  <c r="C84" i="15"/>
  <c r="E84" i="15" s="1"/>
  <c r="D84" i="15"/>
  <c r="B85" i="15"/>
  <c r="C85" i="15"/>
  <c r="E85" i="15" s="1"/>
  <c r="D85" i="15"/>
  <c r="B86" i="15"/>
  <c r="C86" i="15"/>
  <c r="D86" i="15"/>
  <c r="B87" i="15"/>
  <c r="C87" i="15"/>
  <c r="E87" i="15" s="1"/>
  <c r="D87" i="15"/>
  <c r="B88" i="15"/>
  <c r="C88" i="15"/>
  <c r="E88" i="15" s="1"/>
  <c r="D88" i="15"/>
  <c r="B89" i="15"/>
  <c r="C89" i="15"/>
  <c r="E89" i="15" s="1"/>
  <c r="D89" i="15"/>
  <c r="B90" i="15"/>
  <c r="C90" i="15"/>
  <c r="E90" i="15"/>
  <c r="D90" i="15"/>
  <c r="B91" i="15"/>
  <c r="C91" i="15"/>
  <c r="E91" i="15"/>
  <c r="D91" i="15"/>
  <c r="B92" i="15"/>
  <c r="C92" i="15"/>
  <c r="E92" i="15"/>
  <c r="D92" i="15"/>
  <c r="B93" i="15"/>
  <c r="E93" i="15" s="1"/>
  <c r="C93" i="15"/>
  <c r="D93" i="15"/>
  <c r="B94" i="15"/>
  <c r="C94" i="15"/>
  <c r="E94" i="15" s="1"/>
  <c r="D94" i="15"/>
  <c r="B95" i="15"/>
  <c r="C95" i="15"/>
  <c r="D95" i="15"/>
  <c r="B96" i="15"/>
  <c r="D96" i="15"/>
  <c r="D83" i="15"/>
  <c r="C83" i="15"/>
  <c r="E83" i="15"/>
  <c r="B83" i="15"/>
  <c r="B80" i="15"/>
  <c r="E80" i="15" s="1"/>
  <c r="C80" i="15"/>
  <c r="D80" i="15"/>
  <c r="B81" i="15"/>
  <c r="C81" i="15"/>
  <c r="E81" i="15" s="1"/>
  <c r="D81" i="15"/>
  <c r="D79" i="15"/>
  <c r="C79" i="15"/>
  <c r="E79" i="15" s="1"/>
  <c r="B79" i="15"/>
  <c r="B73" i="15"/>
  <c r="C73" i="15"/>
  <c r="E73" i="15" s="1"/>
  <c r="D73" i="15"/>
  <c r="B74" i="15"/>
  <c r="E74" i="15"/>
  <c r="C74" i="15"/>
  <c r="D74" i="15"/>
  <c r="B75" i="15"/>
  <c r="C75" i="15"/>
  <c r="D75" i="15"/>
  <c r="B76" i="15"/>
  <c r="C76" i="15"/>
  <c r="D76" i="15"/>
  <c r="D77" i="15"/>
  <c r="D72" i="15"/>
  <c r="C72" i="15"/>
  <c r="E72" i="15" s="1"/>
  <c r="B72" i="15"/>
  <c r="B66" i="15"/>
  <c r="C66" i="15"/>
  <c r="E66" i="15" s="1"/>
  <c r="D66" i="15"/>
  <c r="B67" i="15"/>
  <c r="C67" i="15"/>
  <c r="E67" i="15" s="1"/>
  <c r="D67" i="15"/>
  <c r="B68" i="15"/>
  <c r="E68" i="15"/>
  <c r="C68" i="15"/>
  <c r="D68" i="15"/>
  <c r="B69" i="15"/>
  <c r="E69" i="15"/>
  <c r="C69" i="15"/>
  <c r="D69" i="15"/>
  <c r="D65" i="15"/>
  <c r="C65" i="15"/>
  <c r="B65" i="15"/>
  <c r="B57" i="15"/>
  <c r="C57" i="15"/>
  <c r="E57" i="15" s="1"/>
  <c r="D57" i="15"/>
  <c r="B58" i="15"/>
  <c r="C58" i="15"/>
  <c r="E58" i="15" s="1"/>
  <c r="D58" i="15"/>
  <c r="B59" i="15"/>
  <c r="C59" i="15"/>
  <c r="E59" i="15" s="1"/>
  <c r="D59" i="15"/>
  <c r="B60" i="15"/>
  <c r="C60" i="15"/>
  <c r="E60" i="15"/>
  <c r="D60" i="15"/>
  <c r="B61" i="15"/>
  <c r="C61" i="15"/>
  <c r="D61" i="15"/>
  <c r="D56" i="15"/>
  <c r="C56" i="15"/>
  <c r="E56" i="15" s="1"/>
  <c r="B56" i="15"/>
  <c r="B47" i="15"/>
  <c r="D47" i="15"/>
  <c r="B48" i="15"/>
  <c r="C48" i="15"/>
  <c r="D48" i="15"/>
  <c r="B49" i="15"/>
  <c r="C49" i="15"/>
  <c r="D49" i="15"/>
  <c r="B50" i="15"/>
  <c r="E50" i="15" s="1"/>
  <c r="C50" i="15"/>
  <c r="D50" i="15"/>
  <c r="B51" i="15"/>
  <c r="C51" i="15"/>
  <c r="E51" i="15"/>
  <c r="D51" i="15"/>
  <c r="B52" i="15"/>
  <c r="E52" i="15" s="1"/>
  <c r="C52" i="15"/>
  <c r="D52" i="15"/>
  <c r="B53" i="15"/>
  <c r="C53" i="15"/>
  <c r="E53" i="15"/>
  <c r="D53" i="15"/>
  <c r="D46" i="15"/>
  <c r="C46" i="15"/>
  <c r="E46" i="15"/>
  <c r="B46" i="15"/>
  <c r="B44" i="15"/>
  <c r="C44" i="15"/>
  <c r="E44" i="15"/>
  <c r="D44" i="15"/>
  <c r="B42" i="15"/>
  <c r="E42" i="15" s="1"/>
  <c r="C42" i="15"/>
  <c r="D42" i="15"/>
  <c r="D41" i="15"/>
  <c r="C41" i="15"/>
  <c r="B41" i="15"/>
  <c r="B38" i="15"/>
  <c r="C38" i="15"/>
  <c r="E38" i="15" s="1"/>
  <c r="D38" i="15"/>
  <c r="C39" i="15"/>
  <c r="D39" i="15"/>
  <c r="B31" i="15"/>
  <c r="C31" i="15"/>
  <c r="E31" i="15" s="1"/>
  <c r="D31" i="15"/>
  <c r="B32" i="15"/>
  <c r="C32" i="15"/>
  <c r="E32" i="15"/>
  <c r="D32" i="15"/>
  <c r="B33" i="15"/>
  <c r="E33" i="15" s="1"/>
  <c r="C33" i="15"/>
  <c r="D33" i="15"/>
  <c r="B34" i="15"/>
  <c r="C34" i="15"/>
  <c r="E34" i="15" s="1"/>
  <c r="D34" i="15"/>
  <c r="B35" i="15"/>
  <c r="C35" i="15"/>
  <c r="E35" i="15" s="1"/>
  <c r="D35" i="15"/>
  <c r="B36" i="15"/>
  <c r="C36" i="15"/>
  <c r="E36" i="15" s="1"/>
  <c r="D36" i="15"/>
  <c r="B37" i="15"/>
  <c r="C37" i="15"/>
  <c r="E37" i="15" s="1"/>
  <c r="D37" i="15"/>
  <c r="D30" i="15"/>
  <c r="C30" i="15"/>
  <c r="B30" i="15"/>
  <c r="E30" i="15" s="1"/>
  <c r="B19" i="15"/>
  <c r="C19" i="15"/>
  <c r="E19" i="15" s="1"/>
  <c r="D19" i="15"/>
  <c r="B20" i="15"/>
  <c r="E20" i="15"/>
  <c r="C20" i="15"/>
  <c r="D20" i="15"/>
  <c r="B21" i="15"/>
  <c r="C21" i="15"/>
  <c r="D21" i="15"/>
  <c r="B22" i="15"/>
  <c r="C22" i="15"/>
  <c r="E22" i="15"/>
  <c r="D22" i="15"/>
  <c r="B23" i="15"/>
  <c r="C23" i="15"/>
  <c r="E23" i="15"/>
  <c r="D23" i="15"/>
  <c r="B24" i="15"/>
  <c r="C24" i="15"/>
  <c r="E24" i="15"/>
  <c r="D24" i="15"/>
  <c r="B25" i="15"/>
  <c r="C25" i="15"/>
  <c r="D25" i="15"/>
  <c r="B26" i="15"/>
  <c r="C26" i="15"/>
  <c r="E26" i="15" s="1"/>
  <c r="D26" i="15"/>
  <c r="B28" i="15"/>
  <c r="C28" i="15"/>
  <c r="E28" i="15" s="1"/>
  <c r="D28" i="15"/>
  <c r="B5" i="15"/>
  <c r="E5" i="15"/>
  <c r="C5" i="15"/>
  <c r="B6" i="15"/>
  <c r="E6" i="15" s="1"/>
  <c r="C6" i="15"/>
  <c r="B7" i="15"/>
  <c r="C7" i="15"/>
  <c r="C9" i="15" s="1"/>
  <c r="B8" i="15"/>
  <c r="E8" i="15" s="1"/>
  <c r="C8" i="15"/>
  <c r="B10" i="15"/>
  <c r="B12" i="15" s="1"/>
  <c r="E12" i="15" s="1"/>
  <c r="C10" i="15"/>
  <c r="B11" i="15"/>
  <c r="C11" i="15"/>
  <c r="E11" i="15" s="1"/>
  <c r="B14" i="15"/>
  <c r="C14" i="15"/>
  <c r="E14" i="15" s="1"/>
  <c r="B15" i="15"/>
  <c r="C15" i="15"/>
  <c r="E15" i="15" s="1"/>
  <c r="B16" i="15"/>
  <c r="E16" i="15"/>
  <c r="C16" i="15"/>
  <c r="B18" i="15"/>
  <c r="C18" i="15"/>
  <c r="C28" i="10"/>
  <c r="C5" i="10"/>
  <c r="C7" i="10"/>
  <c r="C8" i="10"/>
  <c r="H8" i="10" s="1"/>
  <c r="I8" i="10" s="1"/>
  <c r="C9" i="10"/>
  <c r="C11" i="10"/>
  <c r="C12" i="10"/>
  <c r="C13" i="10"/>
  <c r="C14" i="10"/>
  <c r="C15" i="10"/>
  <c r="C16" i="10"/>
  <c r="C17" i="10"/>
  <c r="C18" i="10"/>
  <c r="C19" i="10"/>
  <c r="C20" i="10"/>
  <c r="C21" i="10"/>
  <c r="C22" i="10"/>
  <c r="C23" i="10"/>
  <c r="C24" i="10"/>
  <c r="C25" i="10"/>
  <c r="C26" i="10"/>
  <c r="C27" i="10"/>
  <c r="C4" i="10"/>
  <c r="BA945" i="3"/>
  <c r="E61" i="15"/>
  <c r="E21" i="15"/>
  <c r="E48" i="15"/>
  <c r="C12" i="15"/>
  <c r="E41" i="15"/>
  <c r="E65" i="15"/>
  <c r="AJ996" i="3"/>
  <c r="AJ991" i="3"/>
  <c r="AJ987" i="3"/>
  <c r="AF981" i="3"/>
  <c r="AF976" i="3"/>
  <c r="AJ968" i="3"/>
  <c r="AJ966" i="3"/>
  <c r="AJ962" i="3"/>
  <c r="AJ956" i="3"/>
  <c r="O774" i="3"/>
  <c r="AC773" i="3"/>
  <c r="AC772" i="3"/>
  <c r="AC771" i="3"/>
  <c r="AC770" i="3"/>
  <c r="AC769" i="3"/>
  <c r="AC768" i="3"/>
  <c r="AC767" i="3"/>
  <c r="AC766" i="3"/>
  <c r="AC765" i="3"/>
  <c r="AC764" i="3"/>
  <c r="AC774" i="3" s="1"/>
  <c r="Y777" i="3" s="1"/>
  <c r="O754" i="3"/>
  <c r="AC753" i="3"/>
  <c r="AC752" i="3"/>
  <c r="AC751" i="3"/>
  <c r="AC750" i="3"/>
  <c r="AC706" i="3"/>
  <c r="AM714" i="3"/>
  <c r="AM715" i="3"/>
  <c r="AM716" i="3"/>
  <c r="AM717" i="3"/>
  <c r="AM718" i="3"/>
  <c r="AM719" i="3"/>
  <c r="AM720" i="3"/>
  <c r="AM721" i="3"/>
  <c r="AM722" i="3"/>
  <c r="AM723" i="3"/>
  <c r="AM724" i="3"/>
  <c r="AM725" i="3"/>
  <c r="AM726" i="3"/>
  <c r="AM727" i="3"/>
  <c r="AM728" i="3"/>
  <c r="BG720" i="3"/>
  <c r="BG721" i="3"/>
  <c r="BG722" i="3"/>
  <c r="BG723" i="3"/>
  <c r="BG724" i="3"/>
  <c r="BG725" i="3"/>
  <c r="BG726" i="3"/>
  <c r="BG727" i="3"/>
  <c r="BG728" i="3"/>
  <c r="BG729" i="3"/>
  <c r="BG730" i="3"/>
  <c r="BG731" i="3"/>
  <c r="BG732" i="3"/>
  <c r="BG733" i="3"/>
  <c r="BG734" i="3"/>
  <c r="BG735" i="3"/>
  <c r="BG736" i="3"/>
  <c r="BG737" i="3"/>
  <c r="BG738" i="3"/>
  <c r="BG739" i="3"/>
  <c r="BG740" i="3"/>
  <c r="BG741" i="3"/>
  <c r="BG742" i="3"/>
  <c r="BG743" i="3"/>
  <c r="BG719" i="3"/>
  <c r="G729" i="3"/>
  <c r="AC728" i="3"/>
  <c r="T728" i="3"/>
  <c r="AC727" i="3"/>
  <c r="T727" i="3"/>
  <c r="AC726" i="3"/>
  <c r="T726" i="3"/>
  <c r="AC725" i="3"/>
  <c r="T725" i="3"/>
  <c r="AC724" i="3"/>
  <c r="T724" i="3"/>
  <c r="AC723" i="3"/>
  <c r="T723" i="3"/>
  <c r="AC722" i="3"/>
  <c r="T722" i="3"/>
  <c r="AC721" i="3"/>
  <c r="T721" i="3"/>
  <c r="AC720" i="3"/>
  <c r="T720" i="3"/>
  <c r="AC719" i="3"/>
  <c r="T719" i="3"/>
  <c r="AC718" i="3"/>
  <c r="T718" i="3"/>
  <c r="AC717" i="3"/>
  <c r="T717" i="3"/>
  <c r="AC716" i="3"/>
  <c r="T716" i="3"/>
  <c r="AC715" i="3"/>
  <c r="T715" i="3"/>
  <c r="AC714" i="3"/>
  <c r="T714" i="3"/>
  <c r="AC713" i="3"/>
  <c r="T713" i="3"/>
  <c r="AC712" i="3"/>
  <c r="T712" i="3"/>
  <c r="AC711" i="3"/>
  <c r="T711" i="3"/>
  <c r="AC710" i="3"/>
  <c r="T710" i="3"/>
  <c r="AC709" i="3"/>
  <c r="T709" i="3"/>
  <c r="AC708" i="3"/>
  <c r="T708" i="3"/>
  <c r="AC707" i="3"/>
  <c r="T707" i="3"/>
  <c r="AC705" i="3"/>
  <c r="T705" i="3"/>
  <c r="AC704" i="3"/>
  <c r="T704" i="3"/>
  <c r="AO642" i="3"/>
  <c r="AO644" i="3"/>
  <c r="AM570" i="3"/>
  <c r="H63" i="18"/>
  <c r="H64" i="18"/>
  <c r="H65" i="18"/>
  <c r="E63" i="18"/>
  <c r="E64" i="18"/>
  <c r="E65" i="18"/>
  <c r="B63" i="18"/>
  <c r="B64" i="18"/>
  <c r="B65" i="18"/>
  <c r="B101" i="4"/>
  <c r="R101" i="4"/>
  <c r="B67" i="4"/>
  <c r="E67" i="4"/>
  <c r="R67" i="4" s="1"/>
  <c r="B66" i="4"/>
  <c r="E66" i="4" s="1"/>
  <c r="B65" i="4"/>
  <c r="E65" i="4"/>
  <c r="R65" i="4" s="1"/>
  <c r="B36" i="4"/>
  <c r="E36" i="4" s="1"/>
  <c r="R36" i="4" s="1"/>
  <c r="R24" i="4"/>
  <c r="B24" i="4"/>
  <c r="G57" i="9"/>
  <c r="I57" i="9"/>
  <c r="K57" i="9" s="1"/>
  <c r="M57" i="9" s="1"/>
  <c r="O57" i="9" s="1"/>
  <c r="Q57" i="9" s="1"/>
  <c r="S57" i="9" s="1"/>
  <c r="U57" i="9" s="1"/>
  <c r="W57" i="9" s="1"/>
  <c r="Y57" i="9" s="1"/>
  <c r="AA57" i="9" s="1"/>
  <c r="AC57" i="9" s="1"/>
  <c r="AE57" i="9" s="1"/>
  <c r="AG57" i="9" s="1"/>
  <c r="G56" i="9"/>
  <c r="I56" i="9"/>
  <c r="K56" i="9" s="1"/>
  <c r="M56" i="9" s="1"/>
  <c r="O56" i="9" s="1"/>
  <c r="Q56" i="9" s="1"/>
  <c r="S56" i="9" s="1"/>
  <c r="U56" i="9" s="1"/>
  <c r="W56" i="9" s="1"/>
  <c r="Y56" i="9" s="1"/>
  <c r="AA56" i="9" s="1"/>
  <c r="AC56" i="9" s="1"/>
  <c r="AE56" i="9" s="1"/>
  <c r="AG56" i="9" s="1"/>
  <c r="G55" i="9"/>
  <c r="I55" i="9"/>
  <c r="K55" i="9" s="1"/>
  <c r="M55" i="9" s="1"/>
  <c r="O55" i="9" s="1"/>
  <c r="Q55" i="9" s="1"/>
  <c r="S55" i="9" s="1"/>
  <c r="U55" i="9" s="1"/>
  <c r="W55" i="9" s="1"/>
  <c r="Y55" i="9" s="1"/>
  <c r="AA55" i="9" s="1"/>
  <c r="AC55" i="9" s="1"/>
  <c r="AE55" i="9" s="1"/>
  <c r="AG55" i="9" s="1"/>
  <c r="G24" i="9"/>
  <c r="I24" i="9"/>
  <c r="K24" i="9" s="1"/>
  <c r="M24" i="9" s="1"/>
  <c r="O24" i="9" s="1"/>
  <c r="Q24" i="9" s="1"/>
  <c r="S24" i="9" s="1"/>
  <c r="U24" i="9" s="1"/>
  <c r="W24" i="9" s="1"/>
  <c r="Y24" i="9" s="1"/>
  <c r="AA24" i="9" s="1"/>
  <c r="AC24" i="9" s="1"/>
  <c r="AE24" i="9" s="1"/>
  <c r="AG24" i="9" s="1"/>
  <c r="AG494" i="6"/>
  <c r="AG492" i="6"/>
  <c r="AG505" i="6"/>
  <c r="AG503" i="6"/>
  <c r="AG499" i="6"/>
  <c r="AG530" i="6"/>
  <c r="AD66" i="5"/>
  <c r="Y66" i="5"/>
  <c r="T25" i="5"/>
  <c r="AI7" i="5" s="1"/>
  <c r="AD20" i="5"/>
  <c r="AD22" i="5" s="1"/>
  <c r="BA943" i="3"/>
  <c r="BA944" i="3"/>
  <c r="BA946" i="3"/>
  <c r="BA947" i="3"/>
  <c r="BA948" i="3"/>
  <c r="BA949" i="3"/>
  <c r="BA950" i="3"/>
  <c r="BA951" i="3"/>
  <c r="G90" i="25"/>
  <c r="G91" i="25"/>
  <c r="G92" i="25"/>
  <c r="G93" i="25"/>
  <c r="G94" i="25"/>
  <c r="G95" i="25"/>
  <c r="G96" i="25"/>
  <c r="G97" i="25"/>
  <c r="Q91" i="25"/>
  <c r="Q93" i="25" s="1"/>
  <c r="D100" i="25" s="1"/>
  <c r="D102" i="25" s="1"/>
  <c r="D104" i="25" s="1"/>
  <c r="D110" i="25" s="1"/>
  <c r="G38" i="25" s="1"/>
  <c r="B15" i="4"/>
  <c r="AB47" i="27"/>
  <c r="Q48" i="25"/>
  <c r="D8" i="4"/>
  <c r="B8" i="4" s="1"/>
  <c r="B12" i="4" s="1"/>
  <c r="D11" i="4"/>
  <c r="D26" i="4"/>
  <c r="D38" i="4"/>
  <c r="D42" i="4"/>
  <c r="D53" i="4"/>
  <c r="D61" i="4"/>
  <c r="D69" i="4"/>
  <c r="D76" i="4"/>
  <c r="B76" i="4" s="1"/>
  <c r="D95" i="4"/>
  <c r="D103" i="4"/>
  <c r="C26" i="4"/>
  <c r="B27" i="15"/>
  <c r="B67" i="18"/>
  <c r="C65" i="25"/>
  <c r="C66" i="25"/>
  <c r="G67" i="25"/>
  <c r="Y20" i="5"/>
  <c r="Y22" i="5" s="1"/>
  <c r="AI20" i="5"/>
  <c r="AI22" i="5"/>
  <c r="S26" i="4"/>
  <c r="S38" i="4"/>
  <c r="S42" i="4"/>
  <c r="S69" i="4"/>
  <c r="E67" i="18" s="1"/>
  <c r="S95" i="4"/>
  <c r="E93" i="18" s="1"/>
  <c r="S103" i="4"/>
  <c r="E101" i="18"/>
  <c r="F25" i="18"/>
  <c r="F36" i="18"/>
  <c r="F40" i="18"/>
  <c r="F51" i="18"/>
  <c r="F67" i="18"/>
  <c r="F78" i="18"/>
  <c r="F93" i="18"/>
  <c r="F101" i="18"/>
  <c r="T20" i="5"/>
  <c r="T22" i="5"/>
  <c r="T26" i="4"/>
  <c r="T38" i="4"/>
  <c r="H36" i="18" s="1"/>
  <c r="T42" i="4"/>
  <c r="T53" i="4"/>
  <c r="T11" i="4"/>
  <c r="T69" i="4"/>
  <c r="H67" i="18"/>
  <c r="T80" i="4"/>
  <c r="H78" i="18"/>
  <c r="T95" i="4"/>
  <c r="H93" i="18" s="1"/>
  <c r="T103" i="4"/>
  <c r="I11" i="18"/>
  <c r="I25" i="18"/>
  <c r="I36" i="18"/>
  <c r="I40" i="18"/>
  <c r="I51" i="18"/>
  <c r="I67" i="18"/>
  <c r="I78" i="18"/>
  <c r="I93" i="18"/>
  <c r="I101" i="18"/>
  <c r="U61" i="25"/>
  <c r="U63" i="25"/>
  <c r="U65" i="25"/>
  <c r="U67" i="25"/>
  <c r="AG434" i="3"/>
  <c r="AG437"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BN634" i="3"/>
  <c r="BN635" i="3"/>
  <c r="BN636" i="3"/>
  <c r="BN637" i="3"/>
  <c r="BN638" i="3"/>
  <c r="BN639" i="3"/>
  <c r="BN640" i="3"/>
  <c r="BN641" i="3"/>
  <c r="BN642" i="3"/>
  <c r="BN643" i="3"/>
  <c r="BS634" i="3"/>
  <c r="BS635" i="3"/>
  <c r="BS636" i="3"/>
  <c r="BS637" i="3"/>
  <c r="BS638" i="3"/>
  <c r="BS639" i="3"/>
  <c r="BS640" i="3"/>
  <c r="BS641" i="3"/>
  <c r="BS642" i="3"/>
  <c r="BS643" i="3"/>
  <c r="BX634" i="3"/>
  <c r="BX635" i="3"/>
  <c r="BX636" i="3"/>
  <c r="BX637" i="3"/>
  <c r="BX638" i="3"/>
  <c r="BX639" i="3"/>
  <c r="BX640" i="3"/>
  <c r="BX641" i="3"/>
  <c r="BX642" i="3"/>
  <c r="BX643" i="3"/>
  <c r="CC634" i="3"/>
  <c r="CC635" i="3"/>
  <c r="CC636" i="3"/>
  <c r="CC637" i="3"/>
  <c r="CC638" i="3"/>
  <c r="CC639" i="3"/>
  <c r="CC640" i="3"/>
  <c r="CC641" i="3"/>
  <c r="CC642" i="3"/>
  <c r="CC643" i="3"/>
  <c r="CH634" i="3"/>
  <c r="CH635" i="3"/>
  <c r="CH636" i="3"/>
  <c r="CH637" i="3"/>
  <c r="CH638" i="3"/>
  <c r="CH639" i="3"/>
  <c r="CH640" i="3"/>
  <c r="CH641" i="3"/>
  <c r="CH642" i="3"/>
  <c r="CH643" i="3"/>
  <c r="CM634" i="3"/>
  <c r="CM635" i="3"/>
  <c r="CM636" i="3"/>
  <c r="CM637" i="3"/>
  <c r="CM638" i="3"/>
  <c r="CM639" i="3"/>
  <c r="CM640" i="3"/>
  <c r="CM641" i="3"/>
  <c r="CM642" i="3"/>
  <c r="CM643" i="3"/>
  <c r="U373" i="6"/>
  <c r="AP380" i="6"/>
  <c r="AP379" i="6"/>
  <c r="AP378" i="6"/>
  <c r="AP375" i="6"/>
  <c r="AP373" i="6"/>
  <c r="AP371" i="6"/>
  <c r="AP368" i="6"/>
  <c r="AP367" i="6"/>
  <c r="AP366" i="6"/>
  <c r="AP364" i="6"/>
  <c r="AP363" i="6"/>
  <c r="AP361" i="6"/>
  <c r="AP360" i="6"/>
  <c r="AP358" i="6"/>
  <c r="AP356" i="6"/>
  <c r="E592" i="6"/>
  <c r="BD527" i="6"/>
  <c r="J11" i="18"/>
  <c r="J25" i="18"/>
  <c r="J36" i="18"/>
  <c r="J40" i="18"/>
  <c r="J51" i="18"/>
  <c r="J67" i="18"/>
  <c r="J78" i="18"/>
  <c r="J93" i="18"/>
  <c r="J101" i="18"/>
  <c r="AD39" i="27"/>
  <c r="AD39" i="26"/>
  <c r="T21" i="27"/>
  <c r="Y21" i="27"/>
  <c r="AD21" i="27"/>
  <c r="AI21" i="27"/>
  <c r="T13" i="27"/>
  <c r="Y13" i="27"/>
  <c r="Y14" i="27"/>
  <c r="Y15" i="27"/>
  <c r="Y16" i="27"/>
  <c r="Y17" i="27"/>
  <c r="Y18" i="27"/>
  <c r="Y19" i="27"/>
  <c r="AD13" i="27"/>
  <c r="AI13" i="27"/>
  <c r="AI20" i="27" s="1"/>
  <c r="AI22" i="27" s="1"/>
  <c r="AI14" i="27"/>
  <c r="AI15" i="27"/>
  <c r="AI16" i="27"/>
  <c r="AI17" i="27"/>
  <c r="AI18" i="27"/>
  <c r="AI19" i="27"/>
  <c r="T14" i="27"/>
  <c r="AD14" i="27"/>
  <c r="T15" i="27"/>
  <c r="AD15" i="27"/>
  <c r="T16" i="27"/>
  <c r="AD16" i="27"/>
  <c r="T17" i="27"/>
  <c r="AD17" i="27"/>
  <c r="T18" i="27"/>
  <c r="AD18" i="27"/>
  <c r="T19" i="27"/>
  <c r="AD19" i="27"/>
  <c r="C19" i="27"/>
  <c r="AD67" i="27"/>
  <c r="BO817" i="3"/>
  <c r="BN628" i="3"/>
  <c r="BN632" i="3" s="1"/>
  <c r="BN629" i="3"/>
  <c r="BN630" i="3"/>
  <c r="BN631" i="3"/>
  <c r="BS628" i="3"/>
  <c r="BS629" i="3"/>
  <c r="BS630" i="3"/>
  <c r="BS631" i="3"/>
  <c r="BX628" i="3"/>
  <c r="BX629" i="3"/>
  <c r="BX630" i="3"/>
  <c r="BX631" i="3"/>
  <c r="CC628" i="3"/>
  <c r="CC629" i="3"/>
  <c r="CC630" i="3"/>
  <c r="CC631" i="3"/>
  <c r="CM628" i="3"/>
  <c r="CM632" i="3" s="1"/>
  <c r="CM650" i="3" s="1"/>
  <c r="CM629" i="3"/>
  <c r="CM630" i="3"/>
  <c r="CM631" i="3"/>
  <c r="CH628" i="3"/>
  <c r="CH632" i="3" s="1"/>
  <c r="CH629" i="3"/>
  <c r="CH630" i="3"/>
  <c r="CH631" i="3"/>
  <c r="AY917" i="3"/>
  <c r="AY918" i="3"/>
  <c r="AY919" i="3"/>
  <c r="AY920" i="3"/>
  <c r="AY928" i="3"/>
  <c r="B1009" i="3" s="1"/>
  <c r="AY921" i="3"/>
  <c r="AY925" i="3"/>
  <c r="T21" i="26"/>
  <c r="Y21" i="26"/>
  <c r="AD21" i="26"/>
  <c r="AI21" i="26"/>
  <c r="C19" i="26"/>
  <c r="T13" i="26"/>
  <c r="T20" i="26" s="1"/>
  <c r="T22" i="26" s="1"/>
  <c r="Y13" i="26"/>
  <c r="Y14" i="26"/>
  <c r="Y15" i="26"/>
  <c r="Y20" i="26" s="1"/>
  <c r="Y22" i="26" s="1"/>
  <c r="Y16" i="26"/>
  <c r="Y17" i="26"/>
  <c r="Y18" i="26"/>
  <c r="Y19" i="26"/>
  <c r="AD13" i="26"/>
  <c r="AI13" i="26"/>
  <c r="T14" i="26"/>
  <c r="AD14" i="26"/>
  <c r="AI14" i="26"/>
  <c r="T15" i="26"/>
  <c r="AD15" i="26"/>
  <c r="AI15" i="26"/>
  <c r="T16" i="26"/>
  <c r="AD16" i="26"/>
  <c r="AD20" i="26" s="1"/>
  <c r="AD22" i="26" s="1"/>
  <c r="AI16" i="26"/>
  <c r="T17" i="26"/>
  <c r="AD17" i="26"/>
  <c r="AI17" i="26"/>
  <c r="T18" i="26"/>
  <c r="AD18" i="26"/>
  <c r="AI18" i="26"/>
  <c r="T19" i="26"/>
  <c r="AD19" i="26"/>
  <c r="AI19" i="26"/>
  <c r="AD67" i="26"/>
  <c r="I38" i="4"/>
  <c r="I8" i="4"/>
  <c r="I62" i="4"/>
  <c r="I96" i="4" s="1"/>
  <c r="I104" i="4" s="1"/>
  <c r="I11" i="4"/>
  <c r="I26" i="4"/>
  <c r="I42" i="4"/>
  <c r="I53" i="4"/>
  <c r="I61" i="4"/>
  <c r="I80" i="4"/>
  <c r="I69" i="4"/>
  <c r="I76" i="4"/>
  <c r="I95" i="4"/>
  <c r="J80" i="4"/>
  <c r="J8" i="4"/>
  <c r="J11" i="4"/>
  <c r="J26" i="4"/>
  <c r="J38" i="4"/>
  <c r="J42" i="4"/>
  <c r="J53" i="4"/>
  <c r="J61" i="4"/>
  <c r="J69" i="4"/>
  <c r="J76" i="4"/>
  <c r="J95" i="4"/>
  <c r="K8" i="4"/>
  <c r="K11" i="4"/>
  <c r="K26" i="4"/>
  <c r="K38" i="4"/>
  <c r="K42" i="4"/>
  <c r="K53" i="4"/>
  <c r="K61" i="4"/>
  <c r="K69" i="4"/>
  <c r="K80" i="4"/>
  <c r="K95" i="4"/>
  <c r="L8" i="4"/>
  <c r="L11" i="4"/>
  <c r="L26" i="4"/>
  <c r="L38" i="4"/>
  <c r="L42" i="4"/>
  <c r="L53" i="4"/>
  <c r="L61" i="4"/>
  <c r="L69" i="4"/>
  <c r="L76" i="4"/>
  <c r="L80" i="4"/>
  <c r="L95" i="4"/>
  <c r="M8" i="4"/>
  <c r="M11" i="4"/>
  <c r="M26" i="4"/>
  <c r="M38" i="4"/>
  <c r="M42" i="4"/>
  <c r="M53" i="4"/>
  <c r="M61" i="4"/>
  <c r="M69" i="4"/>
  <c r="M76" i="4"/>
  <c r="M80" i="4"/>
  <c r="M95" i="4"/>
  <c r="N8" i="4"/>
  <c r="N11" i="4"/>
  <c r="N62" i="4" s="1"/>
  <c r="N96" i="4" s="1"/>
  <c r="N104" i="4" s="1"/>
  <c r="N26" i="4"/>
  <c r="N38" i="4"/>
  <c r="N42" i="4"/>
  <c r="N53" i="4"/>
  <c r="N61" i="4"/>
  <c r="N69" i="4"/>
  <c r="N76" i="4"/>
  <c r="N80" i="4"/>
  <c r="N95" i="4"/>
  <c r="O8" i="4"/>
  <c r="O11" i="4"/>
  <c r="O26" i="4"/>
  <c r="O38" i="4"/>
  <c r="O42" i="4"/>
  <c r="O53" i="4"/>
  <c r="O61" i="4"/>
  <c r="O69" i="4"/>
  <c r="O76" i="4"/>
  <c r="O80" i="4"/>
  <c r="O95" i="4"/>
  <c r="P8" i="4"/>
  <c r="P62" i="4" s="1"/>
  <c r="P96" i="4" s="1"/>
  <c r="P104" i="4" s="1"/>
  <c r="P11" i="4"/>
  <c r="P26" i="4"/>
  <c r="P38" i="4"/>
  <c r="P42" i="4"/>
  <c r="P53" i="4"/>
  <c r="P61" i="4"/>
  <c r="P69" i="4"/>
  <c r="P76" i="4"/>
  <c r="P80" i="4"/>
  <c r="P95" i="4"/>
  <c r="Q8" i="4"/>
  <c r="Q11" i="4"/>
  <c r="Q62" i="4" s="1"/>
  <c r="Q96" i="4" s="1"/>
  <c r="Q104" i="4" s="1"/>
  <c r="Q26" i="4"/>
  <c r="Q38" i="4"/>
  <c r="Q42" i="4"/>
  <c r="Q53" i="4"/>
  <c r="Q61" i="4"/>
  <c r="Q69" i="4"/>
  <c r="Q76" i="4"/>
  <c r="Q80" i="4"/>
  <c r="Q95" i="4"/>
  <c r="G78" i="18"/>
  <c r="D78" i="18"/>
  <c r="C78" i="18"/>
  <c r="F80" i="4"/>
  <c r="G80" i="4"/>
  <c r="H80" i="4"/>
  <c r="B78" i="18"/>
  <c r="G76" i="4"/>
  <c r="F76" i="4"/>
  <c r="B77" i="18"/>
  <c r="E77" i="18"/>
  <c r="H77" i="18"/>
  <c r="B79" i="4"/>
  <c r="E79" i="4" s="1"/>
  <c r="R79" i="4" s="1"/>
  <c r="AG443" i="3"/>
  <c r="B93" i="18"/>
  <c r="B102" i="4"/>
  <c r="B25" i="18"/>
  <c r="G25" i="18"/>
  <c r="G36" i="18"/>
  <c r="G60" i="18" s="1"/>
  <c r="G94" i="18" s="1"/>
  <c r="G102" i="18" s="1"/>
  <c r="G104" i="18" s="1"/>
  <c r="G40" i="18"/>
  <c r="G51" i="18"/>
  <c r="G67" i="18"/>
  <c r="G93" i="18"/>
  <c r="G101" i="18"/>
  <c r="E10" i="7"/>
  <c r="J7" i="7"/>
  <c r="H5" i="10"/>
  <c r="H7" i="10"/>
  <c r="H9" i="10"/>
  <c r="I9" i="10" s="1"/>
  <c r="H11" i="10"/>
  <c r="I11" i="10" s="1"/>
  <c r="H12" i="10"/>
  <c r="H13" i="10"/>
  <c r="I13" i="10" s="1"/>
  <c r="H14" i="10"/>
  <c r="I14" i="10"/>
  <c r="H15" i="10"/>
  <c r="I15" i="10"/>
  <c r="H16" i="10"/>
  <c r="I16" i="10"/>
  <c r="H17" i="10"/>
  <c r="I17" i="10" s="1"/>
  <c r="H18" i="10"/>
  <c r="I18" i="10"/>
  <c r="H19" i="10"/>
  <c r="I19" i="10"/>
  <c r="H20" i="10"/>
  <c r="I20" i="10"/>
  <c r="H21" i="10"/>
  <c r="I21" i="10" s="1"/>
  <c r="H22" i="10"/>
  <c r="I22" i="10"/>
  <c r="H23" i="10"/>
  <c r="I23" i="10"/>
  <c r="H24" i="10"/>
  <c r="I24" i="10"/>
  <c r="H25" i="10"/>
  <c r="I25" i="10" s="1"/>
  <c r="H26" i="10"/>
  <c r="I26" i="10"/>
  <c r="H27" i="10"/>
  <c r="I27" i="10"/>
  <c r="H28" i="10"/>
  <c r="I28" i="10"/>
  <c r="H4" i="10"/>
  <c r="A5" i="10"/>
  <c r="B5" i="10"/>
  <c r="F5" i="10"/>
  <c r="A6" i="10"/>
  <c r="B6" i="10"/>
  <c r="F6" i="10" s="1"/>
  <c r="A7" i="10"/>
  <c r="B7" i="10"/>
  <c r="F7" i="10" s="1"/>
  <c r="A8" i="10"/>
  <c r="B8" i="10"/>
  <c r="F8" i="10" s="1"/>
  <c r="A9" i="10"/>
  <c r="B9" i="10"/>
  <c r="F9" i="10"/>
  <c r="A10" i="10"/>
  <c r="B10" i="10"/>
  <c r="F10" i="10"/>
  <c r="A11" i="10"/>
  <c r="B11" i="10"/>
  <c r="F11" i="10"/>
  <c r="A12" i="10"/>
  <c r="B12" i="10"/>
  <c r="F12" i="10" s="1"/>
  <c r="A13" i="10"/>
  <c r="B13" i="10"/>
  <c r="F13" i="10"/>
  <c r="A14" i="10"/>
  <c r="B14" i="10"/>
  <c r="F14" i="10" s="1"/>
  <c r="A15" i="10"/>
  <c r="B15" i="10"/>
  <c r="F15" i="10" s="1"/>
  <c r="A16" i="10"/>
  <c r="B16" i="10"/>
  <c r="F16" i="10" s="1"/>
  <c r="A17" i="10"/>
  <c r="B17" i="10"/>
  <c r="F17" i="10"/>
  <c r="A18" i="10"/>
  <c r="B18" i="10"/>
  <c r="F18" i="10"/>
  <c r="A19" i="10"/>
  <c r="B19" i="10"/>
  <c r="F19" i="10"/>
  <c r="A20" i="10"/>
  <c r="B20" i="10"/>
  <c r="F20" i="10" s="1"/>
  <c r="A21" i="10"/>
  <c r="B21" i="10"/>
  <c r="F21" i="10"/>
  <c r="A22" i="10"/>
  <c r="B22" i="10"/>
  <c r="F22" i="10" s="1"/>
  <c r="A23" i="10"/>
  <c r="B23" i="10"/>
  <c r="F23" i="10" s="1"/>
  <c r="A24" i="10"/>
  <c r="B24" i="10"/>
  <c r="F24" i="10" s="1"/>
  <c r="A25" i="10"/>
  <c r="B25" i="10"/>
  <c r="F25" i="10"/>
  <c r="A26" i="10"/>
  <c r="B26" i="10"/>
  <c r="F26" i="10"/>
  <c r="A27" i="10"/>
  <c r="B27" i="10"/>
  <c r="F27" i="10"/>
  <c r="A28" i="10"/>
  <c r="B28" i="10"/>
  <c r="F28" i="10" s="1"/>
  <c r="B4" i="10"/>
  <c r="F4" i="10"/>
  <c r="A4" i="10"/>
  <c r="AJ283" i="6"/>
  <c r="A100" i="18"/>
  <c r="A91" i="18"/>
  <c r="A92" i="18"/>
  <c r="A90" i="18"/>
  <c r="A73" i="18"/>
  <c r="A66" i="18"/>
  <c r="A58" i="18"/>
  <c r="A50" i="18"/>
  <c r="A35" i="18"/>
  <c r="A24" i="18"/>
  <c r="W579" i="6"/>
  <c r="AD67" i="5"/>
  <c r="B5" i="18"/>
  <c r="B6" i="18"/>
  <c r="B7" i="18"/>
  <c r="B9" i="18"/>
  <c r="B10" i="18"/>
  <c r="B13" i="18"/>
  <c r="B14" i="18"/>
  <c r="B15" i="18"/>
  <c r="H103" i="18"/>
  <c r="H100" i="18"/>
  <c r="H99" i="18"/>
  <c r="H98" i="18"/>
  <c r="H97" i="18"/>
  <c r="H96" i="18"/>
  <c r="H92" i="18"/>
  <c r="H91" i="18"/>
  <c r="H90" i="18"/>
  <c r="H89" i="18"/>
  <c r="H88" i="18"/>
  <c r="H87" i="18"/>
  <c r="H86" i="18"/>
  <c r="H84" i="18"/>
  <c r="H83" i="18"/>
  <c r="H82" i="18"/>
  <c r="H81" i="18"/>
  <c r="H76" i="18"/>
  <c r="H66" i="18"/>
  <c r="H62" i="18"/>
  <c r="H50" i="18"/>
  <c r="H49" i="18"/>
  <c r="H48" i="18"/>
  <c r="H47" i="18"/>
  <c r="H46" i="18"/>
  <c r="H45" i="18"/>
  <c r="H44" i="18"/>
  <c r="H43" i="18"/>
  <c r="H41" i="18"/>
  <c r="H39" i="18"/>
  <c r="H38" i="18"/>
  <c r="H35" i="18"/>
  <c r="H34" i="18"/>
  <c r="H33" i="18"/>
  <c r="H32" i="18"/>
  <c r="H31" i="18"/>
  <c r="H30" i="18"/>
  <c r="H29" i="18"/>
  <c r="H28" i="18"/>
  <c r="H26" i="18"/>
  <c r="H24" i="18"/>
  <c r="H23" i="18"/>
  <c r="H22" i="18"/>
  <c r="H21" i="18"/>
  <c r="H20" i="18"/>
  <c r="H19" i="18"/>
  <c r="H18" i="18"/>
  <c r="H17" i="18"/>
  <c r="H15" i="18"/>
  <c r="H14" i="18"/>
  <c r="H13" i="18"/>
  <c r="H10" i="18"/>
  <c r="H9" i="18"/>
  <c r="E103" i="18"/>
  <c r="E100" i="18"/>
  <c r="E99" i="18"/>
  <c r="E98" i="18"/>
  <c r="E97" i="18"/>
  <c r="E96" i="18"/>
  <c r="E92" i="18"/>
  <c r="E91" i="18"/>
  <c r="E90" i="18"/>
  <c r="E89" i="18"/>
  <c r="E88" i="18"/>
  <c r="E87" i="18"/>
  <c r="E86" i="18"/>
  <c r="E84" i="18"/>
  <c r="E83" i="18"/>
  <c r="E82" i="18"/>
  <c r="E81" i="18"/>
  <c r="E76" i="18"/>
  <c r="E66" i="18"/>
  <c r="E62" i="18"/>
  <c r="E50" i="18"/>
  <c r="E49" i="18"/>
  <c r="E48" i="18"/>
  <c r="E47" i="18"/>
  <c r="E46" i="18"/>
  <c r="E45" i="18"/>
  <c r="E44" i="18"/>
  <c r="E43" i="18"/>
  <c r="E41" i="18"/>
  <c r="E39" i="18"/>
  <c r="E38" i="18"/>
  <c r="E35" i="18"/>
  <c r="E34" i="18"/>
  <c r="E33" i="18"/>
  <c r="E32" i="18"/>
  <c r="E31" i="18"/>
  <c r="E30" i="18"/>
  <c r="E29" i="18"/>
  <c r="E28" i="18"/>
  <c r="E26" i="18"/>
  <c r="E24" i="18"/>
  <c r="E23" i="18"/>
  <c r="E22" i="18"/>
  <c r="E21" i="18"/>
  <c r="E20" i="18"/>
  <c r="E19" i="18"/>
  <c r="E18" i="18"/>
  <c r="E17" i="18"/>
  <c r="E14" i="18"/>
  <c r="E15" i="18"/>
  <c r="E13" i="18"/>
  <c r="E10" i="18"/>
  <c r="B100" i="18"/>
  <c r="B99" i="18"/>
  <c r="B98" i="18"/>
  <c r="B97" i="18"/>
  <c r="B96" i="18"/>
  <c r="B92" i="18"/>
  <c r="B91" i="18"/>
  <c r="B90" i="18"/>
  <c r="B89" i="18"/>
  <c r="B88" i="18"/>
  <c r="B87" i="18"/>
  <c r="B86" i="18"/>
  <c r="B85" i="18"/>
  <c r="B84" i="18"/>
  <c r="B83" i="18"/>
  <c r="B82" i="18"/>
  <c r="B81" i="18"/>
  <c r="B80" i="18"/>
  <c r="B76" i="18"/>
  <c r="B73" i="18"/>
  <c r="B72" i="18"/>
  <c r="B71" i="18"/>
  <c r="B70" i="18"/>
  <c r="B69" i="18"/>
  <c r="B66" i="18"/>
  <c r="B62" i="18"/>
  <c r="B58" i="18"/>
  <c r="B57" i="18"/>
  <c r="B56" i="18"/>
  <c r="B55" i="18"/>
  <c r="B54" i="18"/>
  <c r="B53" i="18"/>
  <c r="B50" i="18"/>
  <c r="B49" i="18"/>
  <c r="B48" i="18"/>
  <c r="B47" i="18"/>
  <c r="B46" i="18"/>
  <c r="B45" i="18"/>
  <c r="B44" i="18"/>
  <c r="B43" i="18"/>
  <c r="B41" i="18"/>
  <c r="B39" i="18"/>
  <c r="B38" i="18"/>
  <c r="B35" i="18"/>
  <c r="B34" i="18"/>
  <c r="B33" i="18"/>
  <c r="B32" i="18"/>
  <c r="B31" i="18"/>
  <c r="B30" i="18"/>
  <c r="B29" i="18"/>
  <c r="B28" i="18"/>
  <c r="B26" i="18"/>
  <c r="B24" i="18"/>
  <c r="B23" i="18"/>
  <c r="B22" i="18"/>
  <c r="B21" i="18"/>
  <c r="B20" i="18"/>
  <c r="B19" i="18"/>
  <c r="B18" i="18"/>
  <c r="B17" i="18"/>
  <c r="B4" i="18"/>
  <c r="D101" i="18"/>
  <c r="C101" i="18"/>
  <c r="D93" i="18"/>
  <c r="C93" i="18"/>
  <c r="D74" i="18"/>
  <c r="C74" i="18"/>
  <c r="D67" i="18"/>
  <c r="C67" i="18"/>
  <c r="D59" i="18"/>
  <c r="C59" i="18"/>
  <c r="D51" i="18"/>
  <c r="C51" i="18"/>
  <c r="D40" i="18"/>
  <c r="C40" i="18"/>
  <c r="D36" i="18"/>
  <c r="C36" i="18"/>
  <c r="D25" i="18"/>
  <c r="C25" i="18"/>
  <c r="D11" i="18"/>
  <c r="C11" i="18"/>
  <c r="D8" i="18"/>
  <c r="D12" i="18" s="1"/>
  <c r="C8" i="18"/>
  <c r="C60" i="18" s="1"/>
  <c r="C94" i="18" s="1"/>
  <c r="C102" i="18" s="1"/>
  <c r="AG519" i="6"/>
  <c r="AO655" i="6"/>
  <c r="AO654" i="6"/>
  <c r="AO653" i="6"/>
  <c r="AO652" i="6"/>
  <c r="AO651" i="6"/>
  <c r="AO650" i="6"/>
  <c r="AJ273" i="6"/>
  <c r="AJ258" i="6"/>
  <c r="AJ246" i="6"/>
  <c r="AJ232" i="6"/>
  <c r="AJ220" i="6"/>
  <c r="AJ208" i="6"/>
  <c r="AJ189" i="6"/>
  <c r="AJ144" i="6"/>
  <c r="AJ129" i="6"/>
  <c r="AK73" i="6"/>
  <c r="T686" i="6" s="1"/>
  <c r="AF686" i="6" s="1"/>
  <c r="AJ47" i="6"/>
  <c r="T685" i="6" s="1"/>
  <c r="AJ31" i="6"/>
  <c r="T684" i="6" s="1"/>
  <c r="AO627" i="6"/>
  <c r="AO626" i="6"/>
  <c r="AO628" i="6" s="1"/>
  <c r="AK645" i="6" s="1"/>
  <c r="T694" i="6" s="1"/>
  <c r="AF694" i="6" s="1"/>
  <c r="AG526" i="6"/>
  <c r="AG522" i="6"/>
  <c r="AG515" i="6"/>
  <c r="AG510" i="6"/>
  <c r="AG487" i="6"/>
  <c r="AK542" i="6" s="1"/>
  <c r="R25" i="4"/>
  <c r="R23" i="4"/>
  <c r="R22" i="4"/>
  <c r="R21" i="4"/>
  <c r="R20" i="4"/>
  <c r="R19" i="4"/>
  <c r="R18" i="4"/>
  <c r="R17" i="4"/>
  <c r="R26" i="4" s="1"/>
  <c r="D5" i="15"/>
  <c r="D6" i="15"/>
  <c r="D7" i="15"/>
  <c r="D9" i="15" s="1"/>
  <c r="D13" i="15" s="1"/>
  <c r="D8" i="15"/>
  <c r="D10" i="15"/>
  <c r="D11" i="15"/>
  <c r="D14" i="15"/>
  <c r="D15" i="15"/>
  <c r="D16" i="15"/>
  <c r="D18" i="15"/>
  <c r="E36" i="18"/>
  <c r="E40" i="18"/>
  <c r="H25" i="18"/>
  <c r="H51" i="18"/>
  <c r="H101" i="18"/>
  <c r="B11" i="18"/>
  <c r="B36" i="18"/>
  <c r="B40" i="18"/>
  <c r="B61" i="4"/>
  <c r="B101" i="18"/>
  <c r="Z793" i="3"/>
  <c r="E9" i="9"/>
  <c r="W823" i="3"/>
  <c r="E15" i="9" s="1"/>
  <c r="W831" i="3"/>
  <c r="E17" i="9"/>
  <c r="G17" i="9" s="1"/>
  <c r="I17" i="9" s="1"/>
  <c r="K17" i="9" s="1"/>
  <c r="M17" i="9" s="1"/>
  <c r="O17" i="9" s="1"/>
  <c r="Q17" i="9" s="1"/>
  <c r="S17" i="9" s="1"/>
  <c r="U17" i="9" s="1"/>
  <c r="W17" i="9" s="1"/>
  <c r="Y17" i="9" s="1"/>
  <c r="AA17" i="9" s="1"/>
  <c r="AC17" i="9" s="1"/>
  <c r="AE17" i="9" s="1"/>
  <c r="AG17" i="9" s="1"/>
  <c r="W838" i="3"/>
  <c r="E18" i="9"/>
  <c r="G18" i="9" s="1"/>
  <c r="I18" i="9" s="1"/>
  <c r="K18" i="9" s="1"/>
  <c r="M18" i="9" s="1"/>
  <c r="O18" i="9" s="1"/>
  <c r="Q18" i="9" s="1"/>
  <c r="S18" i="9" s="1"/>
  <c r="U18" i="9" s="1"/>
  <c r="W18" i="9" s="1"/>
  <c r="Y18" i="9" s="1"/>
  <c r="AA18" i="9" s="1"/>
  <c r="AC18" i="9" s="1"/>
  <c r="AE18" i="9" s="1"/>
  <c r="AG18" i="9" s="1"/>
  <c r="W848" i="3"/>
  <c r="E20" i="9"/>
  <c r="G20" i="9" s="1"/>
  <c r="I20" i="9" s="1"/>
  <c r="K20" i="9" s="1"/>
  <c r="M20" i="9" s="1"/>
  <c r="O20" i="9" s="1"/>
  <c r="Q20" i="9" s="1"/>
  <c r="S20" i="9" s="1"/>
  <c r="U20" i="9" s="1"/>
  <c r="W20" i="9" s="1"/>
  <c r="Y20" i="9" s="1"/>
  <c r="AA20" i="9" s="1"/>
  <c r="AC20" i="9" s="1"/>
  <c r="AE20" i="9" s="1"/>
  <c r="AG20" i="9" s="1"/>
  <c r="W855" i="3"/>
  <c r="E21" i="9"/>
  <c r="G21" i="9" s="1"/>
  <c r="I21" i="9" s="1"/>
  <c r="K21" i="9" s="1"/>
  <c r="M21" i="9" s="1"/>
  <c r="O21" i="9" s="1"/>
  <c r="Q21" i="9" s="1"/>
  <c r="S21" i="9" s="1"/>
  <c r="U21" i="9" s="1"/>
  <c r="W21" i="9" s="1"/>
  <c r="Y21" i="9" s="1"/>
  <c r="AA21" i="9" s="1"/>
  <c r="AC21" i="9" s="1"/>
  <c r="AE21" i="9" s="1"/>
  <c r="AG21" i="9" s="1"/>
  <c r="M28" i="9"/>
  <c r="A32" i="9"/>
  <c r="A33" i="9"/>
  <c r="AC40"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7" i="7"/>
  <c r="E8" i="7"/>
  <c r="E9" i="7"/>
  <c r="G35" i="7"/>
  <c r="AO110" i="6"/>
  <c r="AJ156" i="6"/>
  <c r="AK285" i="6" s="1"/>
  <c r="T688" i="6" s="1"/>
  <c r="AO681" i="6" s="1"/>
  <c r="BJ530" i="6"/>
  <c r="Q587" i="6"/>
  <c r="W587" i="6"/>
  <c r="AC587" i="6" s="1"/>
  <c r="BJ529" i="6"/>
  <c r="BM539" i="6"/>
  <c r="BY552" i="6"/>
  <c r="AZ590" i="6"/>
  <c r="AP573" i="6"/>
  <c r="AP574" i="6"/>
  <c r="AP575" i="6"/>
  <c r="AP576" i="6"/>
  <c r="AP577" i="6"/>
  <c r="AP578" i="6"/>
  <c r="AP579" i="6"/>
  <c r="K589" i="6"/>
  <c r="K590" i="6"/>
  <c r="U687" i="6"/>
  <c r="V687" i="6"/>
  <c r="W687" i="6"/>
  <c r="X687" i="6"/>
  <c r="Y687" i="6"/>
  <c r="T693" i="6"/>
  <c r="AF696" i="6"/>
  <c r="F2" i="4"/>
  <c r="G2" i="4"/>
  <c r="H2" i="4"/>
  <c r="I2" i="4"/>
  <c r="J2" i="4"/>
  <c r="K2" i="4"/>
  <c r="L2" i="4"/>
  <c r="M2" i="4"/>
  <c r="N2" i="4"/>
  <c r="O2" i="4"/>
  <c r="P2" i="4"/>
  <c r="Q2" i="4"/>
  <c r="B4" i="4"/>
  <c r="E4" i="4" s="1"/>
  <c r="B5" i="4"/>
  <c r="E5" i="4"/>
  <c r="R5" i="4" s="1"/>
  <c r="B6" i="4"/>
  <c r="E6" i="4"/>
  <c r="R6" i="4" s="1"/>
  <c r="B7" i="4"/>
  <c r="E7" i="4" s="1"/>
  <c r="R7" i="4" s="1"/>
  <c r="F8" i="4"/>
  <c r="F12" i="4" s="1"/>
  <c r="G8" i="4"/>
  <c r="H8" i="4"/>
  <c r="H12" i="4" s="1"/>
  <c r="H11" i="4"/>
  <c r="L12" i="4"/>
  <c r="B9" i="4"/>
  <c r="E9" i="4"/>
  <c r="B10" i="4"/>
  <c r="E10" i="4" s="1"/>
  <c r="F11" i="4"/>
  <c r="G11" i="4"/>
  <c r="G12" i="4" s="1"/>
  <c r="O12" i="4"/>
  <c r="B13" i="4"/>
  <c r="E13" i="4" s="1"/>
  <c r="R13" i="4" s="1"/>
  <c r="B14" i="4"/>
  <c r="E14" i="4"/>
  <c r="R14" i="4"/>
  <c r="B17" i="4"/>
  <c r="B18" i="4"/>
  <c r="B19" i="4"/>
  <c r="B20" i="4"/>
  <c r="B21" i="4"/>
  <c r="B22" i="4"/>
  <c r="B23" i="4"/>
  <c r="B25" i="4"/>
  <c r="E26" i="4"/>
  <c r="F26" i="4"/>
  <c r="G26" i="4"/>
  <c r="G62" i="4" s="1"/>
  <c r="G96" i="4" s="1"/>
  <c r="G104" i="4" s="1"/>
  <c r="H26" i="4"/>
  <c r="M103" i="4"/>
  <c r="Q103" i="4"/>
  <c r="B27" i="4"/>
  <c r="E27" i="4"/>
  <c r="R27" i="4" s="1"/>
  <c r="B29" i="4"/>
  <c r="E29" i="4"/>
  <c r="R29" i="4" s="1"/>
  <c r="B30" i="4"/>
  <c r="E30" i="4"/>
  <c r="R30" i="4" s="1"/>
  <c r="B31" i="4"/>
  <c r="E31" i="4"/>
  <c r="R31" i="4" s="1"/>
  <c r="B32" i="4"/>
  <c r="E32" i="4"/>
  <c r="R32" i="4" s="1"/>
  <c r="B33" i="4"/>
  <c r="E33" i="4" s="1"/>
  <c r="R33" i="4" s="1"/>
  <c r="B34" i="4"/>
  <c r="E34" i="4" s="1"/>
  <c r="R34" i="4" s="1"/>
  <c r="B35" i="4"/>
  <c r="E35" i="4" s="1"/>
  <c r="R35" i="4" s="1"/>
  <c r="B37" i="4"/>
  <c r="E37" i="4"/>
  <c r="R37" i="4"/>
  <c r="F38" i="4"/>
  <c r="G38" i="4"/>
  <c r="H38" i="4"/>
  <c r="O103" i="4"/>
  <c r="B40" i="4"/>
  <c r="E40" i="4" s="1"/>
  <c r="B41" i="4"/>
  <c r="E41" i="4"/>
  <c r="R41" i="4" s="1"/>
  <c r="F42" i="4"/>
  <c r="G42" i="4"/>
  <c r="H42" i="4"/>
  <c r="B43" i="4"/>
  <c r="E43" i="4" s="1"/>
  <c r="R43" i="4" s="1"/>
  <c r="B47" i="4"/>
  <c r="E47" i="4" s="1"/>
  <c r="R47" i="4" s="1"/>
  <c r="B48" i="4"/>
  <c r="E48" i="4" s="1"/>
  <c r="R48" i="4" s="1"/>
  <c r="B49" i="4"/>
  <c r="E49" i="4"/>
  <c r="R49" i="4"/>
  <c r="B50" i="4"/>
  <c r="E50" i="4"/>
  <c r="R50" i="4"/>
  <c r="B51" i="4"/>
  <c r="E51" i="4"/>
  <c r="R51" i="4" s="1"/>
  <c r="B52" i="4"/>
  <c r="E52" i="4"/>
  <c r="R52" i="4" s="1"/>
  <c r="F53" i="4"/>
  <c r="F61" i="4"/>
  <c r="F95" i="4"/>
  <c r="F69" i="4"/>
  <c r="F103" i="4"/>
  <c r="G53" i="4"/>
  <c r="H53" i="4"/>
  <c r="B55" i="4"/>
  <c r="E55" i="4"/>
  <c r="B56" i="4"/>
  <c r="E56" i="4" s="1"/>
  <c r="B57" i="4"/>
  <c r="E57" i="4"/>
  <c r="R57" i="4"/>
  <c r="B58" i="4"/>
  <c r="E58" i="4"/>
  <c r="R58" i="4"/>
  <c r="B59" i="4"/>
  <c r="E59" i="4"/>
  <c r="R59" i="4" s="1"/>
  <c r="B60" i="4"/>
  <c r="E60" i="4"/>
  <c r="R60" i="4" s="1"/>
  <c r="G61" i="4"/>
  <c r="H61" i="4"/>
  <c r="B64" i="4"/>
  <c r="E64" i="4"/>
  <c r="R64" i="4" s="1"/>
  <c r="B68" i="4"/>
  <c r="E68" i="4"/>
  <c r="R68" i="4"/>
  <c r="G69" i="4"/>
  <c r="H69" i="4"/>
  <c r="B71" i="4"/>
  <c r="E71" i="4" s="1"/>
  <c r="B72" i="4"/>
  <c r="E72" i="4" s="1"/>
  <c r="R72" i="4" s="1"/>
  <c r="B73" i="4"/>
  <c r="E73" i="4" s="1"/>
  <c r="R73" i="4" s="1"/>
  <c r="B75" i="4"/>
  <c r="E75" i="4" s="1"/>
  <c r="R75" i="4" s="1"/>
  <c r="H76" i="4"/>
  <c r="B82" i="4"/>
  <c r="E82" i="4"/>
  <c r="R82" i="4" s="1"/>
  <c r="B83" i="4"/>
  <c r="E83" i="4"/>
  <c r="E95" i="4" s="1"/>
  <c r="B85" i="4"/>
  <c r="E85" i="4" s="1"/>
  <c r="R85" i="4" s="1"/>
  <c r="B86" i="4"/>
  <c r="E86" i="4" s="1"/>
  <c r="R86" i="4" s="1"/>
  <c r="B87" i="4"/>
  <c r="E87" i="4" s="1"/>
  <c r="R87" i="4" s="1"/>
  <c r="B88" i="4"/>
  <c r="E88" i="4"/>
  <c r="R88" i="4"/>
  <c r="B89" i="4"/>
  <c r="E89" i="4"/>
  <c r="R89" i="4"/>
  <c r="B90" i="4"/>
  <c r="E90" i="4"/>
  <c r="R90" i="4" s="1"/>
  <c r="B91" i="4"/>
  <c r="E91" i="4"/>
  <c r="R91" i="4" s="1"/>
  <c r="B92" i="4"/>
  <c r="E92" i="4"/>
  <c r="R92" i="4" s="1"/>
  <c r="B93" i="4"/>
  <c r="E93" i="4" s="1"/>
  <c r="R93" i="4" s="1"/>
  <c r="B94" i="4"/>
  <c r="E94" i="4" s="1"/>
  <c r="R94" i="4" s="1"/>
  <c r="G95" i="4"/>
  <c r="H95" i="4"/>
  <c r="B98" i="4"/>
  <c r="E98" i="4" s="1"/>
  <c r="B99" i="4"/>
  <c r="R99" i="4"/>
  <c r="B100" i="4"/>
  <c r="R100" i="4"/>
  <c r="R102" i="4"/>
  <c r="G103" i="4"/>
  <c r="H103" i="4"/>
  <c r="I103" i="4"/>
  <c r="J103" i="4"/>
  <c r="K103" i="4"/>
  <c r="L103" i="4"/>
  <c r="N103" i="4"/>
  <c r="P103" i="4"/>
  <c r="B131" i="4"/>
  <c r="I184" i="3"/>
  <c r="M235" i="3"/>
  <c r="BG226" i="3"/>
  <c r="BG227" i="3"/>
  <c r="BG228" i="3"/>
  <c r="BG229" i="3"/>
  <c r="BG230" i="3"/>
  <c r="AT260" i="3" s="1"/>
  <c r="BO245" i="3" s="1"/>
  <c r="T269" i="3" s="1"/>
  <c r="BG232" i="3"/>
  <c r="BG233" i="3"/>
  <c r="BG234" i="3"/>
  <c r="BG236" i="3"/>
  <c r="BG237" i="3"/>
  <c r="BG238" i="3"/>
  <c r="BG239" i="3"/>
  <c r="BG240" i="3"/>
  <c r="BG241" i="3"/>
  <c r="W411" i="3"/>
  <c r="G572" i="3"/>
  <c r="Z572" i="3"/>
  <c r="G580" i="3"/>
  <c r="Z580" i="3"/>
  <c r="G588" i="3"/>
  <c r="Z588" i="3"/>
  <c r="G596" i="3"/>
  <c r="Z596" i="3"/>
  <c r="BG601" i="3"/>
  <c r="BK601" i="3"/>
  <c r="BG602" i="3"/>
  <c r="BK602" i="3"/>
  <c r="BG603" i="3"/>
  <c r="BK603" i="3"/>
  <c r="BG604" i="3"/>
  <c r="BK604" i="3"/>
  <c r="G604" i="3"/>
  <c r="Z604" i="3"/>
  <c r="BG605" i="3"/>
  <c r="BK605" i="3"/>
  <c r="BK626" i="3" s="1"/>
  <c r="BG606" i="3"/>
  <c r="BK606" i="3"/>
  <c r="BG607" i="3"/>
  <c r="BK607" i="3"/>
  <c r="BG608" i="3"/>
  <c r="BK608" i="3"/>
  <c r="BG609" i="3"/>
  <c r="BK609" i="3"/>
  <c r="BG610" i="3"/>
  <c r="BK610" i="3"/>
  <c r="BG611" i="3"/>
  <c r="BK611" i="3"/>
  <c r="BG612" i="3"/>
  <c r="BK612" i="3"/>
  <c r="G612" i="3"/>
  <c r="Z612" i="3"/>
  <c r="BG613" i="3"/>
  <c r="BK613" i="3"/>
  <c r="BG614" i="3"/>
  <c r="BK614" i="3"/>
  <c r="BG615" i="3"/>
  <c r="BK615" i="3"/>
  <c r="BG616" i="3"/>
  <c r="BK616" i="3"/>
  <c r="BG617" i="3"/>
  <c r="BK617" i="3"/>
  <c r="BG618" i="3"/>
  <c r="BK618" i="3"/>
  <c r="BG619" i="3"/>
  <c r="BK619" i="3"/>
  <c r="BG620" i="3"/>
  <c r="BK620" i="3"/>
  <c r="BG621" i="3"/>
  <c r="BK621" i="3"/>
  <c r="BG622" i="3"/>
  <c r="BK622" i="3"/>
  <c r="BG623" i="3"/>
  <c r="BK623" i="3"/>
  <c r="BG624" i="3"/>
  <c r="BK624" i="3"/>
  <c r="BG625" i="3"/>
  <c r="BK625" i="3"/>
  <c r="G646" i="3"/>
  <c r="Z646" i="3"/>
  <c r="G654" i="3"/>
  <c r="Z654" i="3"/>
  <c r="G662" i="3"/>
  <c r="Z662" i="3"/>
  <c r="G670" i="3"/>
  <c r="Z670" i="3"/>
  <c r="G678" i="3"/>
  <c r="Z678" i="3"/>
  <c r="G686" i="3"/>
  <c r="Z686" i="3"/>
  <c r="BA687" i="3"/>
  <c r="AM704" i="3"/>
  <c r="BA688" i="3"/>
  <c r="AM705" i="3" s="1"/>
  <c r="BI720" i="3" s="1"/>
  <c r="BG688" i="3"/>
  <c r="BG689" i="3"/>
  <c r="BG713" i="3" s="1"/>
  <c r="BG690" i="3"/>
  <c r="BG691" i="3"/>
  <c r="BG692" i="3"/>
  <c r="BG693" i="3"/>
  <c r="BG694" i="3"/>
  <c r="BG695" i="3"/>
  <c r="BG696" i="3"/>
  <c r="BG697" i="3"/>
  <c r="BG698" i="3"/>
  <c r="BG699" i="3"/>
  <c r="BG700" i="3"/>
  <c r="BG701" i="3"/>
  <c r="BG702" i="3"/>
  <c r="BG703" i="3"/>
  <c r="BH703" i="3" s="1"/>
  <c r="BI703" i="3" s="1"/>
  <c r="BG704" i="3"/>
  <c r="BG705" i="3"/>
  <c r="BH705" i="3" s="1"/>
  <c r="BI705" i="3" s="1"/>
  <c r="BG706" i="3"/>
  <c r="BG707" i="3"/>
  <c r="BG708" i="3"/>
  <c r="BG709" i="3"/>
  <c r="BG710" i="3"/>
  <c r="BG711" i="3"/>
  <c r="BH711" i="3" s="1"/>
  <c r="BI711" i="3" s="1"/>
  <c r="BG712" i="3"/>
  <c r="BA689" i="3"/>
  <c r="BA690" i="3"/>
  <c r="BA691" i="3"/>
  <c r="AM708" i="3"/>
  <c r="BA692" i="3"/>
  <c r="AM709" i="3"/>
  <c r="BA693" i="3"/>
  <c r="AM710" i="3" s="1"/>
  <c r="BA694" i="3"/>
  <c r="BA695" i="3"/>
  <c r="BA696" i="3"/>
  <c r="AM713" i="3"/>
  <c r="BA697" i="3"/>
  <c r="BA698" i="3"/>
  <c r="BA699" i="3"/>
  <c r="BA700" i="3"/>
  <c r="BA701" i="3"/>
  <c r="BA702" i="3"/>
  <c r="BA703" i="3"/>
  <c r="BA704" i="3"/>
  <c r="BA705" i="3"/>
  <c r="BA706" i="3"/>
  <c r="BA707" i="3"/>
  <c r="BA708" i="3"/>
  <c r="BA709" i="3"/>
  <c r="BA710" i="3"/>
  <c r="BA711" i="3"/>
  <c r="M808" i="3"/>
  <c r="Q808" i="3"/>
  <c r="U808" i="3"/>
  <c r="Y808" i="3"/>
  <c r="AC808" i="3"/>
  <c r="AG808" i="3"/>
  <c r="Z877" i="3"/>
  <c r="Q12" i="4"/>
  <c r="B59" i="18"/>
  <c r="H40" i="18"/>
  <c r="B11" i="4"/>
  <c r="E25" i="18"/>
  <c r="B26" i="4"/>
  <c r="B80" i="4"/>
  <c r="B95" i="4"/>
  <c r="D12" i="4"/>
  <c r="R948" i="3"/>
  <c r="R949" i="3"/>
  <c r="R947" i="3"/>
  <c r="R946" i="3"/>
  <c r="R945" i="3"/>
  <c r="AG438" i="3"/>
  <c r="AI27" i="27" s="1"/>
  <c r="AB47" i="26"/>
  <c r="I60" i="18"/>
  <c r="I94" i="18" s="1"/>
  <c r="I102" i="18" s="1"/>
  <c r="I104" i="18" s="1"/>
  <c r="J60" i="18"/>
  <c r="J94" i="18"/>
  <c r="J102" i="18" s="1"/>
  <c r="J104" i="18" s="1"/>
  <c r="K12" i="4"/>
  <c r="B42" i="4"/>
  <c r="J12" i="4"/>
  <c r="D12" i="15"/>
  <c r="B103" i="4"/>
  <c r="M62" i="4"/>
  <c r="M96" i="4" s="1"/>
  <c r="M104" i="4" s="1"/>
  <c r="J62" i="4"/>
  <c r="J96" i="4" s="1"/>
  <c r="J104" i="4" s="1"/>
  <c r="C12" i="4"/>
  <c r="B12" i="18"/>
  <c r="O62" i="4"/>
  <c r="O96" i="4" s="1"/>
  <c r="O104" i="4" s="1"/>
  <c r="D62" i="4"/>
  <c r="D96" i="4" s="1"/>
  <c r="D104" i="4" s="1"/>
  <c r="B74" i="18"/>
  <c r="B8" i="18"/>
  <c r="L62" i="4"/>
  <c r="L96" i="4" s="1"/>
  <c r="L104" i="4" s="1"/>
  <c r="H11" i="18"/>
  <c r="K62" i="4"/>
  <c r="M12" i="4"/>
  <c r="B69" i="4"/>
  <c r="B38" i="4"/>
  <c r="F60" i="18"/>
  <c r="F94" i="18" s="1"/>
  <c r="F102" i="18" s="1"/>
  <c r="F104" i="18" s="1"/>
  <c r="AP383" i="6"/>
  <c r="AQ383" i="6" s="1"/>
  <c r="AO656" i="6"/>
  <c r="AK673" i="6"/>
  <c r="T695" i="6"/>
  <c r="AF695" i="6" s="1"/>
  <c r="AP370" i="6"/>
  <c r="AQ370" i="6" s="1"/>
  <c r="Q588" i="6"/>
  <c r="W588" i="6"/>
  <c r="AC588" i="6" s="1"/>
  <c r="O28" i="9"/>
  <c r="U28" i="9"/>
  <c r="W28" i="9"/>
  <c r="Y28" i="9"/>
  <c r="I28" i="9"/>
  <c r="Q28" i="9"/>
  <c r="S28" i="9"/>
  <c r="AA28" i="9"/>
  <c r="K28" i="9"/>
  <c r="G28" i="9"/>
  <c r="S40" i="9"/>
  <c r="S43" i="9" s="1"/>
  <c r="AA40" i="9"/>
  <c r="AA43" i="9" s="1"/>
  <c r="Q40" i="9"/>
  <c r="Q43" i="9"/>
  <c r="G40" i="9"/>
  <c r="G43" i="9" s="1"/>
  <c r="CS626" i="3"/>
  <c r="T612" i="6"/>
  <c r="Y612" i="6" s="1"/>
  <c r="BS625" i="3"/>
  <c r="O40" i="9"/>
  <c r="O43" i="9" s="1"/>
  <c r="CC632" i="3"/>
  <c r="CC650" i="3" s="1"/>
  <c r="AB948" i="3" s="1"/>
  <c r="AJ948" i="3" s="1"/>
  <c r="BS632" i="3"/>
  <c r="CM644" i="3"/>
  <c r="CQ645" i="3"/>
  <c r="BS644" i="3"/>
  <c r="CQ646" i="3" s="1"/>
  <c r="CX626" i="3"/>
  <c r="T611" i="6" s="1"/>
  <c r="DH626" i="3"/>
  <c r="T609" i="6" s="1"/>
  <c r="DM626" i="3"/>
  <c r="T608" i="6"/>
  <c r="BM528" i="6" s="1"/>
  <c r="BM533" i="6" s="1"/>
  <c r="W40" i="9"/>
  <c r="W43" i="9"/>
  <c r="K40" i="9"/>
  <c r="K43" i="9"/>
  <c r="BX632" i="3"/>
  <c r="U40" i="9"/>
  <c r="U43" i="9" s="1"/>
  <c r="Y40" i="9"/>
  <c r="Y43" i="9" s="1"/>
  <c r="BX625" i="3"/>
  <c r="O610" i="6" s="1"/>
  <c r="DC626" i="3"/>
  <c r="T610" i="6"/>
  <c r="CH644" i="3"/>
  <c r="CL645" i="3"/>
  <c r="BN644" i="3"/>
  <c r="BN625" i="3"/>
  <c r="BN650" i="3" s="1"/>
  <c r="AB945" i="3" s="1"/>
  <c r="BR626" i="3"/>
  <c r="DR626" i="3"/>
  <c r="T607" i="6" s="1"/>
  <c r="CM625" i="3"/>
  <c r="O607" i="6" s="1"/>
  <c r="CC644" i="3"/>
  <c r="CG645" i="3" s="1"/>
  <c r="CH625" i="3"/>
  <c r="CH650" i="3" s="1"/>
  <c r="CL626" i="3"/>
  <c r="AC860" i="3"/>
  <c r="AC861" i="3" s="1"/>
  <c r="BX644" i="3"/>
  <c r="CB645" i="3"/>
  <c r="CC625" i="3"/>
  <c r="O609" i="6"/>
  <c r="Q591" i="6"/>
  <c r="W591" i="6"/>
  <c r="Q589" i="6"/>
  <c r="W589" i="6" s="1"/>
  <c r="AC589" i="6" s="1"/>
  <c r="Q586" i="6"/>
  <c r="W586" i="6"/>
  <c r="AC586" i="6" s="1"/>
  <c r="AC28" i="9"/>
  <c r="Q585" i="6"/>
  <c r="W585" i="6"/>
  <c r="AC585" i="6" s="1"/>
  <c r="Q590" i="6"/>
  <c r="W590" i="6" s="1"/>
  <c r="AC590" i="6" s="1"/>
  <c r="Q584" i="6"/>
  <c r="W584" i="6" s="1"/>
  <c r="AC584" i="6" s="1"/>
  <c r="BD526" i="6"/>
  <c r="Q583" i="6"/>
  <c r="W583" i="6"/>
  <c r="AC583" i="6" s="1"/>
  <c r="C67" i="25"/>
  <c r="I40" i="9"/>
  <c r="AD63" i="5"/>
  <c r="AD7" i="5"/>
  <c r="T7" i="5"/>
  <c r="M40" i="9"/>
  <c r="Y7" i="5"/>
  <c r="T27" i="27"/>
  <c r="AD27" i="27"/>
  <c r="AI27" i="5"/>
  <c r="Y27" i="27"/>
  <c r="Y27" i="26"/>
  <c r="BR645" i="3"/>
  <c r="O608" i="6"/>
  <c r="AY543" i="6" s="1"/>
  <c r="AU575" i="6"/>
  <c r="AU574" i="6"/>
  <c r="B1011" i="3"/>
  <c r="T24" i="27"/>
  <c r="T24" i="26"/>
  <c r="G75" i="9"/>
  <c r="I75" i="9"/>
  <c r="K75" i="9" s="1"/>
  <c r="M75" i="9" s="1"/>
  <c r="O75" i="9" s="1"/>
  <c r="Q75" i="9" s="1"/>
  <c r="S75" i="9" s="1"/>
  <c r="U75" i="9" s="1"/>
  <c r="W75" i="9" s="1"/>
  <c r="Y75" i="9" s="1"/>
  <c r="AA75" i="9" s="1"/>
  <c r="AC75" i="9" s="1"/>
  <c r="AE75" i="9" s="1"/>
  <c r="AG75" i="9" s="1"/>
  <c r="K96" i="4"/>
  <c r="K104" i="4"/>
  <c r="G98" i="25"/>
  <c r="N12" i="4"/>
  <c r="I12" i="4"/>
  <c r="I4" i="10"/>
  <c r="I30" i="10" s="1"/>
  <c r="Z785" i="3" s="1"/>
  <c r="E6" i="9" s="1"/>
  <c r="BG744" i="3"/>
  <c r="BH743" i="3" s="1"/>
  <c r="AM706" i="3"/>
  <c r="BH735" i="3"/>
  <c r="BI735" i="3" s="1"/>
  <c r="BH727" i="3"/>
  <c r="AC754" i="3"/>
  <c r="Y776" i="3" s="1"/>
  <c r="E18" i="15"/>
  <c r="B46" i="4"/>
  <c r="E46" i="4" s="1"/>
  <c r="I43" i="9"/>
  <c r="I12" i="10"/>
  <c r="AI20" i="26"/>
  <c r="AI22" i="26"/>
  <c r="AY930" i="3"/>
  <c r="AY922" i="3" s="1"/>
  <c r="AY926" i="3" s="1"/>
  <c r="BH734" i="3"/>
  <c r="BI734" i="3" s="1"/>
  <c r="BH726" i="3"/>
  <c r="BI726" i="3" s="1"/>
  <c r="D43" i="15"/>
  <c r="E49" i="15"/>
  <c r="E95" i="15"/>
  <c r="D104" i="15"/>
  <c r="E102" i="15"/>
  <c r="AE40" i="9"/>
  <c r="AE43" i="9" s="1"/>
  <c r="C43" i="15"/>
  <c r="E43" i="15" s="1"/>
  <c r="AM707" i="3"/>
  <c r="E25" i="15"/>
  <c r="E76" i="15"/>
  <c r="E101" i="15"/>
  <c r="AG40" i="9"/>
  <c r="AG43" i="9" s="1"/>
  <c r="CG626" i="3"/>
  <c r="M43" i="9"/>
  <c r="C12" i="18"/>
  <c r="BG626" i="3"/>
  <c r="AC43" i="9"/>
  <c r="I7" i="10"/>
  <c r="Y20" i="27"/>
  <c r="Y22" i="27" s="1"/>
  <c r="E86" i="15"/>
  <c r="S62" i="4"/>
  <c r="S96" i="4" s="1"/>
  <c r="AC859" i="3"/>
  <c r="D60" i="18"/>
  <c r="D94" i="18"/>
  <c r="D102" i="18" s="1"/>
  <c r="I5" i="10"/>
  <c r="L920" i="3"/>
  <c r="L921" i="3" s="1"/>
  <c r="AD20" i="27"/>
  <c r="AD22" i="27" s="1"/>
  <c r="AB47" i="5"/>
  <c r="AM712" i="3"/>
  <c r="BH738" i="3"/>
  <c r="BI738" i="3"/>
  <c r="C53" i="4"/>
  <c r="C54" i="15" s="1"/>
  <c r="P12" i="4"/>
  <c r="T20" i="27"/>
  <c r="T22" i="27"/>
  <c r="U69" i="25"/>
  <c r="T62" i="4"/>
  <c r="E50" i="25"/>
  <c r="G52" i="25"/>
  <c r="G53" i="25" s="1"/>
  <c r="T729" i="3"/>
  <c r="BH729" i="3"/>
  <c r="BI729" i="3" s="1"/>
  <c r="BH721" i="3"/>
  <c r="BI721" i="3" s="1"/>
  <c r="B70" i="15"/>
  <c r="E70" i="15"/>
  <c r="E75" i="15"/>
  <c r="I10" i="10"/>
  <c r="O611" i="6"/>
  <c r="BW626" i="3"/>
  <c r="BH722" i="3"/>
  <c r="BI722" i="3"/>
  <c r="BH730" i="3"/>
  <c r="BI730" i="3"/>
  <c r="BH733" i="3"/>
  <c r="BI733" i="3"/>
  <c r="BH732" i="3"/>
  <c r="BI732" i="3" s="1"/>
  <c r="BH739" i="3"/>
  <c r="BI739" i="3"/>
  <c r="BH720" i="3"/>
  <c r="BH737" i="3"/>
  <c r="BI737" i="3"/>
  <c r="BH725" i="3"/>
  <c r="BI725" i="3" s="1"/>
  <c r="BH741" i="3"/>
  <c r="BI741" i="3"/>
  <c r="BH736" i="3"/>
  <c r="BI736" i="3"/>
  <c r="BH719" i="3"/>
  <c r="BH742" i="3"/>
  <c r="BI742" i="3" s="1"/>
  <c r="BH740" i="3"/>
  <c r="BI740" i="3"/>
  <c r="BH723" i="3"/>
  <c r="BI723" i="3" s="1"/>
  <c r="BH731" i="3"/>
  <c r="BI731" i="3" s="1"/>
  <c r="BH724" i="3"/>
  <c r="BI724" i="3" s="1"/>
  <c r="BH728" i="3"/>
  <c r="BI728" i="3"/>
  <c r="Y608" i="6"/>
  <c r="BI727" i="3"/>
  <c r="R55" i="4"/>
  <c r="AM711" i="3"/>
  <c r="R9" i="4"/>
  <c r="E10" i="9"/>
  <c r="G9" i="9"/>
  <c r="G10" i="9" s="1"/>
  <c r="O612" i="6"/>
  <c r="AU578" i="6"/>
  <c r="B9" i="15"/>
  <c r="B13" i="15" s="1"/>
  <c r="D27" i="15"/>
  <c r="C62" i="15"/>
  <c r="AC862" i="3"/>
  <c r="B62" i="15"/>
  <c r="D70" i="15"/>
  <c r="C27" i="15"/>
  <c r="E27" i="15"/>
  <c r="E15" i="4"/>
  <c r="R15" i="4"/>
  <c r="AJ980" i="3"/>
  <c r="B53" i="4"/>
  <c r="H60" i="18"/>
  <c r="T96" i="4"/>
  <c r="H94" i="18" s="1"/>
  <c r="E60" i="18"/>
  <c r="AU577" i="6"/>
  <c r="BI719" i="3"/>
  <c r="BE574" i="6"/>
  <c r="AP584" i="6" s="1"/>
  <c r="E62" i="15"/>
  <c r="T104" i="4"/>
  <c r="T106" i="4" s="1"/>
  <c r="H104" i="18" s="1"/>
  <c r="AK66" i="6" l="1"/>
  <c r="T683" i="6"/>
  <c r="AF683" i="6" s="1"/>
  <c r="R46" i="4"/>
  <c r="E53" i="4"/>
  <c r="AU573" i="6"/>
  <c r="O613" i="6"/>
  <c r="R10" i="4"/>
  <c r="R11" i="4" s="1"/>
  <c r="E11" i="4"/>
  <c r="AB949" i="3"/>
  <c r="AJ949" i="3" s="1"/>
  <c r="CS632" i="3"/>
  <c r="R98" i="4"/>
  <c r="R103" i="4" s="1"/>
  <c r="E103" i="4"/>
  <c r="R56" i="4"/>
  <c r="R61" i="4" s="1"/>
  <c r="E61" i="4"/>
  <c r="E94" i="18"/>
  <c r="S104" i="4"/>
  <c r="AZ573" i="6"/>
  <c r="Y607" i="6"/>
  <c r="BE573" i="6" s="1"/>
  <c r="AP583" i="6" s="1"/>
  <c r="BJ573" i="6" s="1"/>
  <c r="BJ579" i="6" s="1"/>
  <c r="T613" i="6"/>
  <c r="BF567" i="6"/>
  <c r="BK570" i="6" s="1"/>
  <c r="AU548" i="6" s="1"/>
  <c r="AU576" i="6"/>
  <c r="AC592" i="6"/>
  <c r="AJ945" i="3"/>
  <c r="BQ529" i="6"/>
  <c r="BQ533" i="6" s="1"/>
  <c r="AP536" i="6"/>
  <c r="BB586" i="6" s="1"/>
  <c r="BB590" i="6" s="1"/>
  <c r="Y609" i="6"/>
  <c r="AZ575" i="6"/>
  <c r="AD11" i="26"/>
  <c r="AD23" i="26" s="1"/>
  <c r="AD26" i="26" s="1"/>
  <c r="AD11" i="5"/>
  <c r="AD23" i="5" s="1"/>
  <c r="AD26" i="5" s="1"/>
  <c r="AD11" i="27"/>
  <c r="AD23" i="27" s="1"/>
  <c r="AD26" i="27" s="1"/>
  <c r="AD28" i="27" s="1"/>
  <c r="AI11" i="26"/>
  <c r="AI23" i="26" s="1"/>
  <c r="AI26" i="26" s="1"/>
  <c r="AI11" i="27"/>
  <c r="AI23" i="27" s="1"/>
  <c r="AI26" i="27" s="1"/>
  <c r="AI28" i="27" s="1"/>
  <c r="AD63" i="27" s="1"/>
  <c r="E77" i="15"/>
  <c r="AE920" i="3"/>
  <c r="AE921" i="3" s="1"/>
  <c r="AP538" i="6"/>
  <c r="BJ588" i="6" s="1"/>
  <c r="BJ590" i="6" s="1"/>
  <c r="BY531" i="6"/>
  <c r="BY533" i="6" s="1"/>
  <c r="Y611" i="6"/>
  <c r="AZ577" i="6"/>
  <c r="CE532" i="6"/>
  <c r="CE533" i="6" s="1"/>
  <c r="CH552" i="6"/>
  <c r="BE578" i="6"/>
  <c r="AP588" i="6" s="1"/>
  <c r="BH698" i="3"/>
  <c r="BI698" i="3" s="1"/>
  <c r="BH688" i="3"/>
  <c r="BH693" i="3"/>
  <c r="BI693" i="3" s="1"/>
  <c r="BH699" i="3"/>
  <c r="BI699" i="3" s="1"/>
  <c r="BH701" i="3"/>
  <c r="BI701" i="3" s="1"/>
  <c r="BH707" i="3"/>
  <c r="BI707" i="3" s="1"/>
  <c r="BH694" i="3"/>
  <c r="BI694" i="3" s="1"/>
  <c r="BH690" i="3"/>
  <c r="BI690" i="3" s="1"/>
  <c r="BH696" i="3"/>
  <c r="BI696" i="3" s="1"/>
  <c r="BH691" i="3"/>
  <c r="BI691" i="3" s="1"/>
  <c r="BH708" i="3"/>
  <c r="BI708" i="3" s="1"/>
  <c r="BH697" i="3"/>
  <c r="BI697" i="3" s="1"/>
  <c r="BH712" i="3"/>
  <c r="BI712" i="3" s="1"/>
  <c r="BH692" i="3"/>
  <c r="BI692" i="3" s="1"/>
  <c r="BH689" i="3"/>
  <c r="BI689" i="3" s="1"/>
  <c r="BH709" i="3"/>
  <c r="BI709" i="3" s="1"/>
  <c r="BH706" i="3"/>
  <c r="BI706" i="3" s="1"/>
  <c r="BH695" i="3"/>
  <c r="BI695" i="3" s="1"/>
  <c r="BH710" i="3"/>
  <c r="BI710" i="3" s="1"/>
  <c r="BH700" i="3"/>
  <c r="BI700" i="3" s="1"/>
  <c r="BH704" i="3"/>
  <c r="BI704" i="3" s="1"/>
  <c r="BH702" i="3"/>
  <c r="BI702" i="3" s="1"/>
  <c r="R69" i="4"/>
  <c r="F30" i="10"/>
  <c r="AS544" i="6"/>
  <c r="E8" i="4"/>
  <c r="R4" i="4"/>
  <c r="R8" i="4" s="1"/>
  <c r="E69" i="4"/>
  <c r="R66" i="4"/>
  <c r="Z794" i="3"/>
  <c r="E4" i="9"/>
  <c r="R53" i="4"/>
  <c r="BI743" i="3"/>
  <c r="BI744" i="3" s="1"/>
  <c r="AM729" i="3" s="1"/>
  <c r="BH744" i="3"/>
  <c r="C13" i="15"/>
  <c r="E13" i="15" s="1"/>
  <c r="E9" i="15"/>
  <c r="E39" i="15"/>
  <c r="AU535" i="6"/>
  <c r="R71" i="4"/>
  <c r="R76" i="4" s="1"/>
  <c r="E76" i="4"/>
  <c r="R40" i="4"/>
  <c r="R42" i="4" s="1"/>
  <c r="E42" i="4"/>
  <c r="E7" i="9"/>
  <c r="G6" i="9"/>
  <c r="Y610" i="6"/>
  <c r="AU539" i="6" s="1"/>
  <c r="AS359" i="6"/>
  <c r="AK476" i="6" s="1"/>
  <c r="T689" i="6" s="1"/>
  <c r="AO682" i="6" s="1"/>
  <c r="AO680" i="6" s="1"/>
  <c r="T687" i="6" s="1"/>
  <c r="AF687" i="6" s="1"/>
  <c r="AS357" i="6"/>
  <c r="R38" i="4"/>
  <c r="E22" i="9"/>
  <c r="E35" i="9" s="1"/>
  <c r="G15" i="9"/>
  <c r="AI11" i="5"/>
  <c r="AI23" i="5" s="1"/>
  <c r="AI26" i="5" s="1"/>
  <c r="AI28" i="5" s="1"/>
  <c r="R78" i="4"/>
  <c r="R80" i="4" s="1"/>
  <c r="E80" i="4"/>
  <c r="H102" i="18"/>
  <c r="CH548" i="6"/>
  <c r="I9" i="9"/>
  <c r="B51" i="18"/>
  <c r="E38" i="4"/>
  <c r="AP535" i="6"/>
  <c r="AX585" i="6" s="1"/>
  <c r="AX590" i="6" s="1"/>
  <c r="AX591" i="6" s="1"/>
  <c r="CB626" i="3"/>
  <c r="CQ627" i="3" s="1"/>
  <c r="AZ574" i="6"/>
  <c r="AI27" i="26"/>
  <c r="BU530" i="6"/>
  <c r="BU533" i="6" s="1"/>
  <c r="BW645" i="3"/>
  <c r="R83" i="4"/>
  <c r="R95" i="4" s="1"/>
  <c r="B54" i="15"/>
  <c r="E54" i="15" s="1"/>
  <c r="AP550" i="6"/>
  <c r="AU551" i="6" s="1"/>
  <c r="BS650" i="3"/>
  <c r="AB946" i="3" s="1"/>
  <c r="AJ946" i="3" s="1"/>
  <c r="AZ576" i="6"/>
  <c r="AP539" i="6"/>
  <c r="BN589" i="6" s="1"/>
  <c r="BN590" i="6" s="1"/>
  <c r="CQ626" i="3"/>
  <c r="Y27" i="5"/>
  <c r="BX650" i="3"/>
  <c r="AB947" i="3" s="1"/>
  <c r="AJ947" i="3" s="1"/>
  <c r="F62" i="4"/>
  <c r="F96" i="4" s="1"/>
  <c r="F104" i="4" s="1"/>
  <c r="E7" i="15"/>
  <c r="BO528" i="6"/>
  <c r="BO533" i="6" s="1"/>
  <c r="BM534" i="6" s="1"/>
  <c r="C62" i="4"/>
  <c r="AP537" i="6"/>
  <c r="CC532" i="6"/>
  <c r="CC533" i="6" s="1"/>
  <c r="BK567" i="6"/>
  <c r="T27" i="5"/>
  <c r="T27" i="26"/>
  <c r="D54" i="15"/>
  <c r="H62" i="4"/>
  <c r="H96" i="4" s="1"/>
  <c r="H104" i="4" s="1"/>
  <c r="AD27" i="5"/>
  <c r="AD27" i="26"/>
  <c r="E10" i="15"/>
  <c r="AZ578" i="6"/>
  <c r="P414" i="3" l="1"/>
  <c r="CQ648" i="3"/>
  <c r="J8" i="7" s="1"/>
  <c r="J10" i="7" s="1"/>
  <c r="U372" i="6" s="1"/>
  <c r="AD28" i="26"/>
  <c r="AJ951" i="3"/>
  <c r="BO574" i="6"/>
  <c r="BO579" i="6" s="1"/>
  <c r="BE547" i="6"/>
  <c r="BE552" i="6" s="1"/>
  <c r="BP586" i="6"/>
  <c r="AB950" i="3"/>
  <c r="BU534" i="6"/>
  <c r="BD585" i="6"/>
  <c r="BD590" i="6" s="1"/>
  <c r="E62" i="4"/>
  <c r="E96" i="4" s="1"/>
  <c r="E104" i="4" s="1"/>
  <c r="E12" i="4"/>
  <c r="T692" i="6"/>
  <c r="AK618" i="6"/>
  <c r="BP585" i="6"/>
  <c r="BP590" i="6" s="1"/>
  <c r="BN591" i="6" s="1"/>
  <c r="R12" i="4"/>
  <c r="R62" i="4"/>
  <c r="R96" i="4" s="1"/>
  <c r="R104" i="4" s="1"/>
  <c r="CC534" i="6"/>
  <c r="AU536" i="6"/>
  <c r="CH549" i="6"/>
  <c r="BI548" i="6" s="1"/>
  <c r="BI552" i="6" s="1"/>
  <c r="BE575" i="6"/>
  <c r="BS529" i="6"/>
  <c r="BS533" i="6" s="1"/>
  <c r="S106" i="4"/>
  <c r="E102" i="18"/>
  <c r="BB591" i="6"/>
  <c r="BP587" i="6"/>
  <c r="BF587" i="6"/>
  <c r="BF590" i="6" s="1"/>
  <c r="BW530" i="6"/>
  <c r="BW533" i="6" s="1"/>
  <c r="AU537" i="6"/>
  <c r="CH550" i="6"/>
  <c r="BM549" i="6" s="1"/>
  <c r="BM552" i="6" s="1"/>
  <c r="BE576" i="6"/>
  <c r="AP586" i="6" s="1"/>
  <c r="G4" i="9"/>
  <c r="E5" i="9"/>
  <c r="E11" i="9" s="1"/>
  <c r="E37" i="9" s="1"/>
  <c r="BP588" i="6"/>
  <c r="AI28" i="26"/>
  <c r="AD63" i="26" s="1"/>
  <c r="BL586" i="6"/>
  <c r="AX548" i="6"/>
  <c r="BL587" i="6"/>
  <c r="BH586" i="6"/>
  <c r="B62" i="4"/>
  <c r="B63" i="15"/>
  <c r="C96" i="4"/>
  <c r="D63" i="15"/>
  <c r="C63" i="15"/>
  <c r="E63" i="15" s="1"/>
  <c r="B60" i="18"/>
  <c r="BH585" i="6"/>
  <c r="BL585" i="6"/>
  <c r="I10" i="9"/>
  <c r="K9" i="9"/>
  <c r="I15" i="9"/>
  <c r="G22" i="9"/>
  <c r="G35" i="9" s="1"/>
  <c r="G7" i="9"/>
  <c r="I6" i="9"/>
  <c r="BI688" i="3"/>
  <c r="BI713" i="3" s="1"/>
  <c r="AH729" i="3" s="1"/>
  <c r="BH713" i="3"/>
  <c r="BE577" i="6"/>
  <c r="AP587" i="6" s="1"/>
  <c r="CH551" i="6"/>
  <c r="CA531" i="6"/>
  <c r="CA533" i="6" s="1"/>
  <c r="BY534" i="6" s="1"/>
  <c r="AU538" i="6"/>
  <c r="AD28" i="5"/>
  <c r="BQ534" i="6"/>
  <c r="BQ535" i="6" s="1"/>
  <c r="BQ539" i="6" s="1"/>
  <c r="BY535" i="6" l="1"/>
  <c r="BY536" i="6"/>
  <c r="BY537" i="6"/>
  <c r="E45" i="9"/>
  <c r="E49" i="9"/>
  <c r="K6" i="9"/>
  <c r="I7" i="9"/>
  <c r="AP585" i="6"/>
  <c r="BT575" i="6" s="1"/>
  <c r="AJ971" i="3"/>
  <c r="AJ953" i="3"/>
  <c r="AJ984" i="3"/>
  <c r="AJ1000" i="3"/>
  <c r="T24" i="5" s="1"/>
  <c r="B94" i="18"/>
  <c r="D97" i="15"/>
  <c r="C104" i="4"/>
  <c r="B97" i="15"/>
  <c r="B96" i="4"/>
  <c r="C97" i="15"/>
  <c r="E97" i="15" s="1"/>
  <c r="BF591" i="6"/>
  <c r="BJ592" i="6" s="1"/>
  <c r="AV556" i="6" s="1"/>
  <c r="T691" i="6"/>
  <c r="AO685" i="6"/>
  <c r="AF691" i="6" s="1"/>
  <c r="AF697" i="6" s="1"/>
  <c r="BU535" i="6"/>
  <c r="BU539" i="6" s="1"/>
  <c r="BU536" i="6"/>
  <c r="BQ550" i="6"/>
  <c r="I4" i="9"/>
  <c r="G5" i="9"/>
  <c r="G11" i="9"/>
  <c r="G37" i="9" s="1"/>
  <c r="K15" i="9"/>
  <c r="I22" i="9"/>
  <c r="I35" i="9" s="1"/>
  <c r="K10" i="9"/>
  <c r="M9" i="9"/>
  <c r="BL590" i="6"/>
  <c r="BJ591" i="6" s="1"/>
  <c r="CC538" i="6"/>
  <c r="CC535" i="6"/>
  <c r="CC537" i="6"/>
  <c r="X1004" i="3"/>
  <c r="E104" i="18"/>
  <c r="AC449" i="3"/>
  <c r="BH590" i="6"/>
  <c r="BT579" i="6" l="1"/>
  <c r="BY576" i="6"/>
  <c r="M6" i="9"/>
  <c r="K7" i="9"/>
  <c r="E53" i="9"/>
  <c r="E58" i="9" s="1"/>
  <c r="E60" i="9"/>
  <c r="E48" i="9"/>
  <c r="E47" i="9"/>
  <c r="G45" i="9"/>
  <c r="G49" i="9"/>
  <c r="M10" i="9"/>
  <c r="O9" i="9"/>
  <c r="B104" i="4"/>
  <c r="C105" i="15"/>
  <c r="B105" i="15"/>
  <c r="D105" i="15"/>
  <c r="B102" i="18"/>
  <c r="AC448" i="3"/>
  <c r="CC536" i="6"/>
  <c r="CC539" i="6"/>
  <c r="K4" i="9"/>
  <c r="I5" i="9"/>
  <c r="I11" i="9"/>
  <c r="I37" i="9" s="1"/>
  <c r="BQ552" i="6"/>
  <c r="BU551" i="6"/>
  <c r="BU552" i="6" s="1"/>
  <c r="Y11" i="27"/>
  <c r="Y23" i="27" s="1"/>
  <c r="Y26" i="27" s="1"/>
  <c r="Y28" i="27" s="1"/>
  <c r="Y63" i="27" s="1"/>
  <c r="Y67" i="27" s="1"/>
  <c r="Y11" i="5"/>
  <c r="Y23" i="5" s="1"/>
  <c r="Y26" i="5" s="1"/>
  <c r="Y28" i="5" s="1"/>
  <c r="Y11" i="26"/>
  <c r="Y23" i="26" s="1"/>
  <c r="Y26" i="26" s="1"/>
  <c r="Y28" i="26" s="1"/>
  <c r="Y63" i="26" s="1"/>
  <c r="Y67" i="26" s="1"/>
  <c r="T11" i="5"/>
  <c r="T23" i="5" s="1"/>
  <c r="T11" i="27"/>
  <c r="T23" i="27" s="1"/>
  <c r="T11" i="26"/>
  <c r="T23" i="26" s="1"/>
  <c r="BY539" i="6"/>
  <c r="X1005" i="3"/>
  <c r="D1006" i="3" s="1"/>
  <c r="M15" i="9"/>
  <c r="K22" i="9"/>
  <c r="K35" i="9" s="1"/>
  <c r="AD38" i="5" l="1"/>
  <c r="AD40" i="5" s="1"/>
  <c r="Y38" i="5"/>
  <c r="Y40" i="5" s="1"/>
  <c r="Q9" i="9"/>
  <c r="O10" i="9"/>
  <c r="E105" i="15"/>
  <c r="AC447" i="3"/>
  <c r="AB46" i="5"/>
  <c r="AB48" i="5" s="1"/>
  <c r="AB46" i="27"/>
  <c r="AB48" i="27" s="1"/>
  <c r="AB46" i="26"/>
  <c r="AB48" i="26" s="1"/>
  <c r="J58" i="25"/>
  <c r="O15" i="9"/>
  <c r="M22" i="9"/>
  <c r="M35" i="9" s="1"/>
  <c r="BY579" i="6"/>
  <c r="CI578" i="6"/>
  <c r="CI579" i="6" s="1"/>
  <c r="CN579" i="6" s="1"/>
  <c r="BD560" i="6" s="1"/>
  <c r="E68" i="9"/>
  <c r="E70" i="9"/>
  <c r="E69" i="9"/>
  <c r="E66" i="9"/>
  <c r="E67" i="9"/>
  <c r="CG539" i="6"/>
  <c r="T26" i="26"/>
  <c r="T28" i="26" s="1"/>
  <c r="T29" i="26" s="1"/>
  <c r="AD38" i="26"/>
  <c r="AD40" i="26" s="1"/>
  <c r="Y38" i="26"/>
  <c r="Y40" i="26" s="1"/>
  <c r="Y41" i="26" s="1"/>
  <c r="T26" i="27"/>
  <c r="T28" i="27" s="1"/>
  <c r="T29" i="27" s="1"/>
  <c r="Y38" i="27"/>
  <c r="Y40" i="27" s="1"/>
  <c r="AD38" i="27"/>
  <c r="AD40" i="27" s="1"/>
  <c r="G53" i="9"/>
  <c r="G58" i="9" s="1"/>
  <c r="G60" i="9" s="1"/>
  <c r="G47" i="9"/>
  <c r="G48" i="9"/>
  <c r="CD577" i="6"/>
  <c r="CD579" i="6" s="1"/>
  <c r="CC552" i="6"/>
  <c r="O6" i="9"/>
  <c r="M7" i="9"/>
  <c r="I49" i="9"/>
  <c r="I45" i="9"/>
  <c r="Q71" i="25"/>
  <c r="O75" i="25" s="1"/>
  <c r="T26" i="5"/>
  <c r="T28" i="5" s="1"/>
  <c r="M4" i="9"/>
  <c r="K5" i="9"/>
  <c r="K11" i="9" s="1"/>
  <c r="K37" i="9" s="1"/>
  <c r="K49" i="9" l="1"/>
  <c r="K45" i="9"/>
  <c r="G66" i="9"/>
  <c r="G67" i="9"/>
  <c r="G68" i="9"/>
  <c r="G70" i="9"/>
  <c r="G62" i="9"/>
  <c r="G69" i="9"/>
  <c r="AW564" i="6"/>
  <c r="AT562" i="6"/>
  <c r="I47" i="9"/>
  <c r="I48" i="9"/>
  <c r="I53" i="9"/>
  <c r="I58" i="9" s="1"/>
  <c r="I60" i="9" s="1"/>
  <c r="Q15" i="9"/>
  <c r="O22" i="9"/>
  <c r="O35" i="9" s="1"/>
  <c r="S9" i="9"/>
  <c r="Q10" i="9"/>
  <c r="Y41" i="27"/>
  <c r="E71" i="9"/>
  <c r="E73" i="9" s="1"/>
  <c r="G71" i="25"/>
  <c r="G72" i="25" s="1"/>
  <c r="B75" i="25" s="1"/>
  <c r="B76" i="25"/>
  <c r="O76" i="25" s="1"/>
  <c r="AR42" i="5"/>
  <c r="AR43" i="5"/>
  <c r="Y41" i="5" s="1"/>
  <c r="O7" i="9"/>
  <c r="Q6" i="9"/>
  <c r="AB53" i="26"/>
  <c r="AB54" i="26" s="1"/>
  <c r="AB55" i="26" s="1"/>
  <c r="AB56" i="26" s="1"/>
  <c r="M5" i="9"/>
  <c r="M11" i="9"/>
  <c r="M37" i="9" s="1"/>
  <c r="O4" i="9"/>
  <c r="AB53" i="27"/>
  <c r="AB54" i="27" s="1"/>
  <c r="T29" i="5"/>
  <c r="Y63" i="5"/>
  <c r="Y67" i="5" s="1"/>
  <c r="AB49" i="5"/>
  <c r="AB53" i="5" s="1"/>
  <c r="AB54" i="5" s="1"/>
  <c r="I66" i="9" l="1"/>
  <c r="I67" i="9"/>
  <c r="I68" i="9"/>
  <c r="I69" i="9"/>
  <c r="I62" i="9"/>
  <c r="I70" i="9"/>
  <c r="AB58" i="26"/>
  <c r="G73" i="9"/>
  <c r="Q22" i="9"/>
  <c r="Q35" i="9" s="1"/>
  <c r="S15" i="9"/>
  <c r="R75" i="25"/>
  <c r="M45" i="9"/>
  <c r="M49" i="9"/>
  <c r="AB55" i="27"/>
  <c r="AB56" i="27" s="1"/>
  <c r="G71" i="9"/>
  <c r="S6" i="9"/>
  <c r="Q7" i="9"/>
  <c r="U9" i="9"/>
  <c r="S10" i="9"/>
  <c r="K53" i="9"/>
  <c r="K58" i="9" s="1"/>
  <c r="K60" i="9" s="1"/>
  <c r="K48" i="9"/>
  <c r="K47" i="9"/>
  <c r="O5" i="9"/>
  <c r="O11" i="9"/>
  <c r="O37" i="9" s="1"/>
  <c r="Q4" i="9"/>
  <c r="AB55" i="5"/>
  <c r="K66" i="9" l="1"/>
  <c r="K67" i="9"/>
  <c r="K68" i="9"/>
  <c r="K62" i="9"/>
  <c r="K69" i="9"/>
  <c r="K70" i="9"/>
  <c r="F59" i="26"/>
  <c r="AB75" i="26"/>
  <c r="AB76" i="26" s="1"/>
  <c r="AB77" i="26" s="1"/>
  <c r="AB79" i="26" s="1"/>
  <c r="J80" i="26" s="1"/>
  <c r="W9" i="9"/>
  <c r="U10" i="9"/>
  <c r="M47" i="9"/>
  <c r="M53" i="9"/>
  <c r="M58" i="9" s="1"/>
  <c r="M60" i="9" s="1"/>
  <c r="M48" i="9"/>
  <c r="O45" i="9"/>
  <c r="O49" i="9"/>
  <c r="U15" i="9"/>
  <c r="S22" i="9"/>
  <c r="S35" i="9" s="1"/>
  <c r="U6" i="9"/>
  <c r="S7" i="9"/>
  <c r="AB58" i="27"/>
  <c r="AB56" i="5"/>
  <c r="M25" i="3"/>
  <c r="S4" i="9"/>
  <c r="Q5" i="9"/>
  <c r="Q11" i="9"/>
  <c r="Q37" i="9" s="1"/>
  <c r="I71" i="9"/>
  <c r="I73" i="9" s="1"/>
  <c r="M67" i="9" l="1"/>
  <c r="M68" i="9"/>
  <c r="M70" i="9"/>
  <c r="M66" i="9"/>
  <c r="M71" i="9" s="1"/>
  <c r="M73" i="9" s="1"/>
  <c r="M62" i="9"/>
  <c r="M69" i="9"/>
  <c r="F59" i="27"/>
  <c r="AB75" i="27"/>
  <c r="AB76" i="27" s="1"/>
  <c r="AB77" i="27" s="1"/>
  <c r="AB79" i="27" s="1"/>
  <c r="J80" i="27" s="1"/>
  <c r="U7" i="9"/>
  <c r="W6" i="9"/>
  <c r="O47" i="9"/>
  <c r="O53" i="9"/>
  <c r="O58" i="9" s="1"/>
  <c r="O60" i="9"/>
  <c r="O48" i="9"/>
  <c r="Q45" i="9"/>
  <c r="Q49" i="9"/>
  <c r="U4" i="9"/>
  <c r="S5" i="9"/>
  <c r="S11" i="9" s="1"/>
  <c r="S37" i="9" s="1"/>
  <c r="W15" i="9"/>
  <c r="U22" i="9"/>
  <c r="U35" i="9" s="1"/>
  <c r="Y9" i="9"/>
  <c r="W10" i="9"/>
  <c r="AB58" i="5"/>
  <c r="P203" i="3"/>
  <c r="K71" i="9"/>
  <c r="K73" i="9" s="1"/>
  <c r="S49" i="9" l="1"/>
  <c r="S45" i="9"/>
  <c r="O67" i="9"/>
  <c r="O68" i="9"/>
  <c r="O70" i="9"/>
  <c r="O62" i="9"/>
  <c r="O66" i="9"/>
  <c r="O71" i="9" s="1"/>
  <c r="O73" i="9" s="1"/>
  <c r="O69" i="9"/>
  <c r="Y15" i="9"/>
  <c r="W22" i="9"/>
  <c r="W35" i="9" s="1"/>
  <c r="W7" i="9"/>
  <c r="Y6" i="9"/>
  <c r="Q60" i="9"/>
  <c r="Q47" i="9"/>
  <c r="Q48" i="9"/>
  <c r="Q53" i="9"/>
  <c r="Q58" i="9" s="1"/>
  <c r="AA9" i="9"/>
  <c r="Y10" i="9"/>
  <c r="W4" i="9"/>
  <c r="U5" i="9"/>
  <c r="U11" i="9" s="1"/>
  <c r="U37" i="9" s="1"/>
  <c r="AB75" i="5"/>
  <c r="AB76" i="5" s="1"/>
  <c r="F59" i="5"/>
  <c r="U45" i="9" l="1"/>
  <c r="U49" i="9"/>
  <c r="Q62" i="9"/>
  <c r="Q69" i="9"/>
  <c r="Q66" i="9"/>
  <c r="Q67" i="9"/>
  <c r="Q68" i="9"/>
  <c r="Q70" i="9"/>
  <c r="AC9" i="9"/>
  <c r="AA10" i="9"/>
  <c r="AA15" i="9"/>
  <c r="Y22" i="9"/>
  <c r="Y35" i="9" s="1"/>
  <c r="S48" i="9"/>
  <c r="S53" i="9"/>
  <c r="S58" i="9" s="1"/>
  <c r="S60" i="9" s="1"/>
  <c r="S47" i="9"/>
  <c r="AB77" i="5"/>
  <c r="AB79" i="5" s="1"/>
  <c r="J80" i="5" s="1"/>
  <c r="M27" i="3"/>
  <c r="AA6" i="9"/>
  <c r="Y7" i="9"/>
  <c r="W5" i="9"/>
  <c r="W11" i="9"/>
  <c r="W37" i="9" s="1"/>
  <c r="Y4" i="9"/>
  <c r="S70" i="9" l="1"/>
  <c r="S66" i="9"/>
  <c r="S67" i="9"/>
  <c r="S68" i="9"/>
  <c r="S62" i="9"/>
  <c r="S69" i="9"/>
  <c r="W203" i="3"/>
  <c r="D203" i="3"/>
  <c r="AA4" i="9"/>
  <c r="Y5" i="9"/>
  <c r="Y11" i="9" s="1"/>
  <c r="Y37" i="9" s="1"/>
  <c r="W49" i="9"/>
  <c r="W45" i="9"/>
  <c r="AC6" i="9"/>
  <c r="AA7" i="9"/>
  <c r="AC15" i="9"/>
  <c r="AA22" i="9"/>
  <c r="AA35" i="9" s="1"/>
  <c r="Q71" i="9"/>
  <c r="Q73" i="9" s="1"/>
  <c r="AE9" i="9"/>
  <c r="AC10" i="9"/>
  <c r="U48" i="9"/>
  <c r="U53" i="9"/>
  <c r="U58" i="9" s="1"/>
  <c r="U60" i="9" s="1"/>
  <c r="U47" i="9"/>
  <c r="U62" i="9" l="1"/>
  <c r="U67" i="9"/>
  <c r="U68" i="9"/>
  <c r="U69" i="9"/>
  <c r="U70" i="9"/>
  <c r="U66" i="9"/>
  <c r="S73" i="9"/>
  <c r="Y45" i="9"/>
  <c r="Y49" i="9"/>
  <c r="AC4" i="9"/>
  <c r="AA5" i="9"/>
  <c r="AA11" i="9" s="1"/>
  <c r="AA37" i="9" s="1"/>
  <c r="AE6" i="9"/>
  <c r="AC7" i="9"/>
  <c r="W53" i="9"/>
  <c r="W58" i="9" s="1"/>
  <c r="W60" i="9" s="1"/>
  <c r="W47" i="9"/>
  <c r="W48" i="9"/>
  <c r="AE10" i="9"/>
  <c r="AG9" i="9"/>
  <c r="AG10" i="9" s="1"/>
  <c r="S71" i="9"/>
  <c r="AE15" i="9"/>
  <c r="AC22" i="9"/>
  <c r="AC35" i="9" s="1"/>
  <c r="W67" i="9" l="1"/>
  <c r="W69" i="9"/>
  <c r="W68" i="9"/>
  <c r="W70" i="9"/>
  <c r="W62" i="9"/>
  <c r="W66" i="9"/>
  <c r="W71" i="9" s="1"/>
  <c r="W73" i="9" s="1"/>
  <c r="AA45" i="9"/>
  <c r="AA49" i="9"/>
  <c r="AE22" i="9"/>
  <c r="AE35" i="9" s="1"/>
  <c r="AG15" i="9"/>
  <c r="AG22" i="9" s="1"/>
  <c r="AG35" i="9" s="1"/>
  <c r="U71" i="9"/>
  <c r="U73" i="9" s="1"/>
  <c r="AE7" i="9"/>
  <c r="AG6" i="9"/>
  <c r="AG7" i="9" s="1"/>
  <c r="AE4" i="9"/>
  <c r="AC5" i="9"/>
  <c r="AC11" i="9" s="1"/>
  <c r="AC37" i="9" s="1"/>
  <c r="Y48" i="9"/>
  <c r="Y47" i="9"/>
  <c r="Y53" i="9"/>
  <c r="Y58" i="9" s="1"/>
  <c r="Y60" i="9" s="1"/>
  <c r="AC45" i="9" l="1"/>
  <c r="AC49" i="9"/>
  <c r="Y70" i="9"/>
  <c r="Y62" i="9"/>
  <c r="Y66" i="9"/>
  <c r="Y71" i="9" s="1"/>
  <c r="Y73" i="9" s="1"/>
  <c r="Y67" i="9"/>
  <c r="Y68" i="9"/>
  <c r="Y69" i="9"/>
  <c r="AG4" i="9"/>
  <c r="AE5" i="9"/>
  <c r="AE11" i="9"/>
  <c r="AE37" i="9" s="1"/>
  <c r="AA47" i="9"/>
  <c r="AA53" i="9"/>
  <c r="AA58" i="9" s="1"/>
  <c r="AA60" i="9" s="1"/>
  <c r="AA48" i="9"/>
  <c r="AA70" i="9" l="1"/>
  <c r="AA66" i="9"/>
  <c r="AA68" i="9"/>
  <c r="AA62" i="9"/>
  <c r="AA69" i="9"/>
  <c r="AA67" i="9"/>
  <c r="AE45" i="9"/>
  <c r="AE49" i="9"/>
  <c r="AG5" i="9"/>
  <c r="AG11" i="9"/>
  <c r="AG37" i="9" s="1"/>
  <c r="AC53" i="9"/>
  <c r="AC58" i="9" s="1"/>
  <c r="AC60" i="9" s="1"/>
  <c r="AC47" i="9"/>
  <c r="AC48" i="9"/>
  <c r="AC70" i="9" l="1"/>
  <c r="AC62" i="9"/>
  <c r="AC73" i="9" s="1"/>
  <c r="AC67" i="9"/>
  <c r="AC69" i="9"/>
  <c r="AC68" i="9"/>
  <c r="AC66" i="9"/>
  <c r="AC71" i="9" s="1"/>
  <c r="AG45" i="9"/>
  <c r="AG49" i="9"/>
  <c r="AE47" i="9"/>
  <c r="AE53" i="9"/>
  <c r="AE58" i="9" s="1"/>
  <c r="AE60" i="9" s="1"/>
  <c r="AE48" i="9"/>
  <c r="AA71" i="9"/>
  <c r="AA73" i="9" s="1"/>
  <c r="AE67" i="9" l="1"/>
  <c r="AE68" i="9"/>
  <c r="AE69" i="9"/>
  <c r="AE70" i="9"/>
  <c r="AE62" i="9"/>
  <c r="AE73" i="9" s="1"/>
  <c r="AE66" i="9"/>
  <c r="AE71" i="9" s="1"/>
  <c r="AG53" i="9"/>
  <c r="AG58" i="9" s="1"/>
  <c r="AG60" i="9" s="1"/>
  <c r="AG47" i="9"/>
  <c r="AG48" i="9"/>
  <c r="AG69" i="9" l="1"/>
  <c r="AG70" i="9"/>
  <c r="AG66" i="9"/>
  <c r="AG68" i="9"/>
  <c r="AG62" i="9"/>
  <c r="AG67" i="9"/>
  <c r="AG71" i="9" l="1"/>
  <c r="AG73" i="9" s="1"/>
</calcChain>
</file>

<file path=xl/comments1.xml><?xml version="1.0" encoding="utf-8"?>
<comments xmlns="http://schemas.openxmlformats.org/spreadsheetml/2006/main">
  <authors>
    <author>*DS</author>
    <author>State Treasurer's Office</author>
  </authors>
  <commentList>
    <comment ref="Z785" authorId="0" shapeId="0">
      <text>
        <r>
          <rPr>
            <sz val="9"/>
            <color rgb="FF000000"/>
            <rFont val="Tahoma"/>
            <family val="2"/>
          </rPr>
          <t>Complete the Subsidy Contract Calculation tab, the annual rental subsidy overhang amount will automatically populate</t>
        </r>
      </text>
    </comment>
    <comment ref="R945" authorId="1" shapeId="0">
      <text>
        <r>
          <rPr>
            <b/>
            <sz val="9"/>
            <color rgb="FF000000"/>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authors>
    <author>State Treasurer's Office</author>
    <author>Chen, Zhuo</author>
    <author>*DS</author>
  </authors>
  <commentList>
    <comment ref="B4" authorId="0" shapeId="0">
      <text>
        <r>
          <rPr>
            <sz val="10"/>
            <rFont val="Arial"/>
            <family val="2"/>
          </rPr>
          <t xml:space="preserve">Rehabilitation projects: Lower of appraised "as-is" value or purchase price
</t>
        </r>
      </text>
    </comment>
    <comment ref="B15" authorId="1" shapeId="0">
      <text>
        <r>
          <rPr>
            <sz val="9"/>
            <color indexed="81"/>
            <rFont val="Tahoma"/>
            <family val="2"/>
          </rPr>
          <t>If the purchase price exceeds appraised value, input the overage amount in this row, unless a waiver has been obtained pursuant to TCAC regulations Section 10327(c)(6)</t>
        </r>
      </text>
    </comment>
    <comment ref="B27" authorId="0" shapeId="0">
      <text>
        <r>
          <rPr>
            <sz val="10"/>
            <rFont val="Arial"/>
            <family val="2"/>
          </rPr>
          <t xml:space="preserve">Relocation costs should correlate to the costs approved by either the local agency or federal agency. 
</t>
        </r>
      </text>
    </comment>
    <comment ref="B73" authorId="2" shapeId="0">
      <text>
        <r>
          <rPr>
            <sz val="9"/>
            <color indexed="81"/>
            <rFont val="Tahoma"/>
            <family val="2"/>
          </rPr>
          <t>For projects subject to a TCAC Capital Needs Covenant</t>
        </r>
      </text>
    </comment>
    <comment ref="B100" authorId="0" shapeId="0">
      <text>
        <r>
          <rPr>
            <sz val="10"/>
            <rFont val="Arial"/>
            <family val="2"/>
          </rPr>
          <t xml:space="preserve">Any project fees paid as brokerage to a related party are part of developer fee.
</t>
        </r>
      </text>
    </comment>
    <comment ref="B101" authorId="0" shapeId="0">
      <text>
        <r>
          <rPr>
            <sz val="10"/>
            <rFont val="Arial"/>
            <family val="2"/>
          </rPr>
          <t xml:space="preserve">Any construction management oversight paid to developer or related party are part of developer fees.
</t>
        </r>
      </text>
    </comment>
    <comment ref="S103" authorId="0" shapeId="0">
      <text>
        <r>
          <rPr>
            <sz val="10"/>
            <rFont val="Arial"/>
            <family val="2"/>
          </rPr>
          <t>Cannot exceed the lesser of 15% of cell S96 or the amount allowed in cost. See TCAC reg. section 10327(c)(2)(A) for complete requirements and limitations.</t>
        </r>
      </text>
    </comment>
    <comment ref="T103" authorId="0" shapeId="0">
      <text>
        <r>
          <rPr>
            <sz val="10"/>
            <rFont val="Arial"/>
            <family val="2"/>
          </rPr>
          <t>For Acq. Credit Only:  cannot exceed 5% of cell T96.</t>
        </r>
      </text>
    </comment>
  </commentList>
</comments>
</file>

<file path=xl/comments3.xml><?xml version="1.0" encoding="utf-8"?>
<comments xmlns="http://schemas.openxmlformats.org/spreadsheetml/2006/main">
  <authors>
    <author>Chen, Zhuo</author>
    <author>State Treasurer's Office</author>
    <author>*DS</author>
  </authors>
  <commentList>
    <comment ref="B21" authorId="0" shapeId="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text>
        <r>
          <rPr>
            <sz val="9"/>
            <color indexed="81"/>
            <rFont val="Tahoma"/>
            <family val="2"/>
          </rPr>
          <t>The Total Requested Unadjusted Eligible Basis must not exceed the Total Adjusted Threshold Basis Limit.</t>
        </r>
      </text>
    </comment>
    <comment ref="T25" authorId="1" shapeId="0">
      <text>
        <r>
          <rPr>
            <sz val="10"/>
            <rFont val="Arial"/>
            <family val="2"/>
          </rPr>
          <t>130% adjustment only for sites located in a DDA/QCT. Unless, project is proposing SpNs housing type</t>
        </r>
      </text>
    </comment>
    <comment ref="Y25" authorId="2" shapeId="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authors>
    <author>State Treasurer's Office</author>
    <author>Chen, Zhuo</author>
  </authors>
  <commentList>
    <comment ref="H271" authorId="0" shapeId="0">
      <text>
        <r>
          <rPr>
            <sz val="10"/>
            <rFont val="Arial"/>
            <family val="2"/>
          </rPr>
          <t>Do not select item (ii) unless the project is applying under the Rural set-aside.</t>
        </r>
        <r>
          <rPr>
            <sz val="10"/>
            <rFont val="Arial"/>
            <family val="2"/>
          </rPr>
          <t xml:space="preserve">
</t>
        </r>
      </text>
    </comment>
    <comment ref="S561" authorId="0" shapeId="0">
      <text>
        <r>
          <rPr>
            <sz val="8"/>
            <color indexed="81"/>
            <rFont val="Arial"/>
            <family val="2"/>
          </rPr>
          <t>Available only to Rural set-aside projects.</t>
        </r>
      </text>
    </comment>
    <comment ref="U568" authorId="0" shapeId="0">
      <text>
        <r>
          <rPr>
            <sz val="8"/>
            <color indexed="81"/>
            <rFont val="Arial"/>
            <family val="2"/>
          </rPr>
          <t>Available only to Rural set-aside projects.</t>
        </r>
      </text>
    </comment>
    <comment ref="U569" authorId="0" shapeId="0">
      <text>
        <r>
          <rPr>
            <sz val="8"/>
            <color indexed="81"/>
            <rFont val="Arial"/>
            <family val="2"/>
          </rPr>
          <t>Available only to Rural set-aside projects.</t>
        </r>
      </text>
    </comment>
    <comment ref="S570" authorId="1" shapeId="0">
      <text>
        <r>
          <rPr>
            <sz val="8"/>
            <color indexed="81"/>
            <rFont val="Tahoma"/>
            <family val="2"/>
          </rPr>
          <t>Available only to Rural set-aside projects.</t>
        </r>
      </text>
    </comment>
    <comment ref="S571" authorId="1" shapeId="0">
      <text>
        <r>
          <rPr>
            <sz val="8"/>
            <color indexed="81"/>
            <rFont val="Tahoma"/>
            <family val="2"/>
          </rPr>
          <t>Available only to Rural set-aside projects.</t>
        </r>
      </text>
    </comment>
    <comment ref="S572" authorId="1" shapeId="0">
      <text>
        <r>
          <rPr>
            <sz val="8"/>
            <color indexed="81"/>
            <rFont val="Tahoma"/>
            <family val="2"/>
          </rPr>
          <t>Available only to Rural set-aside projects.</t>
        </r>
      </text>
    </comment>
    <comment ref="S573" authorId="1" shapeId="0">
      <text>
        <r>
          <rPr>
            <sz val="8"/>
            <color indexed="81"/>
            <rFont val="Tahoma"/>
            <family val="2"/>
          </rPr>
          <t>Available only to Rural set-aside projects.</t>
        </r>
      </text>
    </comment>
    <comment ref="S574" authorId="1" shapeId="0">
      <text>
        <r>
          <rPr>
            <sz val="8"/>
            <color indexed="81"/>
            <rFont val="Tahoma"/>
            <family val="2"/>
          </rPr>
          <t>Available only to Rural set-aside projects.</t>
        </r>
      </text>
    </comment>
    <comment ref="S575" authorId="1" shapeId="0">
      <text>
        <r>
          <rPr>
            <sz val="8"/>
            <color indexed="81"/>
            <rFont val="Tahoma"/>
            <family val="2"/>
          </rPr>
          <t>Available only to Rural set-aside projects.</t>
        </r>
      </text>
    </comment>
    <comment ref="S576" authorId="1" shapeId="0">
      <text>
        <r>
          <rPr>
            <sz val="8"/>
            <color indexed="81"/>
            <rFont val="Tahoma"/>
            <family val="2"/>
          </rPr>
          <t>Available only to Rural set-aside projects.</t>
        </r>
      </text>
    </comment>
    <comment ref="E588" authorId="0" shapeId="0">
      <text>
        <r>
          <rPr>
            <sz val="9"/>
            <color indexed="81"/>
            <rFont val="Arial"/>
            <family val="2"/>
          </rPr>
          <t xml:space="preserve">DO NOT USE if Rural set-aside projects:  </t>
        </r>
      </text>
    </comment>
    <comment ref="E589" authorId="1" shapeId="0">
      <text>
        <r>
          <rPr>
            <sz val="9"/>
            <color indexed="81"/>
            <rFont val="Tahoma"/>
            <family val="2"/>
          </rPr>
          <t xml:space="preserve">ONLY for Rural set-aside projects.
</t>
        </r>
      </text>
    </comment>
    <comment ref="E590" authorId="1" shapeId="0">
      <text>
        <r>
          <rPr>
            <sz val="9"/>
            <color indexed="81"/>
            <rFont val="Tahoma"/>
            <family val="2"/>
          </rPr>
          <t>ONLY for Rural set-aside projects.</t>
        </r>
      </text>
    </comment>
  </commentList>
</comments>
</file>

<file path=xl/comments5.xml><?xml version="1.0" encoding="utf-8"?>
<comments xmlns="http://schemas.openxmlformats.org/spreadsheetml/2006/main">
  <authors>
    <author>Chen, Zhuo</author>
  </authors>
  <commentList>
    <comment ref="E50" authorId="0" shapeId="0">
      <text>
        <r>
          <rPr>
            <sz val="11"/>
            <color indexed="81"/>
            <rFont val="Arial"/>
            <family val="2"/>
          </rPr>
          <t>Excess over appraisal will be automatically subtracted from the TOTAL soft financing</t>
        </r>
      </text>
    </comment>
    <comment ref="E51" authorId="0" shapeId="0">
      <text>
        <r>
          <rPr>
            <sz val="11"/>
            <color rgb="FF000000"/>
            <rFont val="Arial"/>
            <family val="2"/>
          </rPr>
          <t>Ineligible offsites will be automatically subtracted from the TOTAL soft financing</t>
        </r>
      </text>
    </comment>
    <comment ref="B65" authorId="0" shapeId="0">
      <text>
        <r>
          <rPr>
            <sz val="9"/>
            <color indexed="81"/>
            <rFont val="Tahoma"/>
            <family val="2"/>
          </rPr>
          <t>Includes Adaptive Reuse projects</t>
        </r>
      </text>
    </comment>
  </commentList>
</comments>
</file>

<file path=xl/comments6.xml><?xml version="1.0" encoding="utf-8"?>
<comments xmlns="http://schemas.openxmlformats.org/spreadsheetml/2006/main">
  <authors>
    <author>Chen, Zhuo</author>
    <author>State Treasurer's Office</author>
  </authors>
  <commentList>
    <comment ref="B21" authorId="0" shapeId="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text>
        <r>
          <rPr>
            <sz val="9"/>
            <color indexed="81"/>
            <rFont val="Tahoma"/>
            <family val="2"/>
          </rPr>
          <t>The Total Requested Unadjusted Eligible Basis must not exceed the Total Adjusted Threshold Basis Limit.</t>
        </r>
      </text>
    </comment>
    <comment ref="T25" authorId="1" shapeId="0">
      <text>
        <r>
          <rPr>
            <sz val="10"/>
            <rFont val="Arial"/>
            <family val="2"/>
          </rPr>
          <t>No 130% adjustment when exchanging Fed for State</t>
        </r>
      </text>
    </comment>
  </commentList>
</comments>
</file>

<file path=xl/comments7.xml><?xml version="1.0" encoding="utf-8"?>
<comments xmlns="http://schemas.openxmlformats.org/spreadsheetml/2006/main">
  <authors>
    <author>Chen, Zhuo</author>
    <author>State Treasurer's Office</author>
  </authors>
  <commentList>
    <comment ref="B21" authorId="0" shapeId="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text>
        <r>
          <rPr>
            <sz val="9"/>
            <color indexed="81"/>
            <rFont val="Tahoma"/>
            <family val="2"/>
          </rPr>
          <t>The Total Requested Unadjusted Eligible Basis must not exceed the Total Adjusted Threshold Basis Limit.</t>
        </r>
      </text>
    </comment>
    <comment ref="T25" authorId="1" shapeId="0">
      <text>
        <r>
          <rPr>
            <sz val="10"/>
            <rFont val="Arial"/>
            <family val="2"/>
          </rPr>
          <t>No 130% adjustment when exchanging State for Fed</t>
        </r>
      </text>
    </comment>
  </commentList>
</comments>
</file>

<file path=xl/sharedStrings.xml><?xml version="1.0" encoding="utf-8"?>
<sst xmlns="http://schemas.openxmlformats.org/spreadsheetml/2006/main" count="4750" uniqueCount="2511">
  <si>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</si>
  <si>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</si>
  <si>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</si>
  <si>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</si>
  <si>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</si>
  <si>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</si>
  <si>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</si>
  <si>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</si>
  <si>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</si>
  <si>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</si>
  <si>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</si>
  <si>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</si>
  <si>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</si>
  <si>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</si>
  <si>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</si>
  <si>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</si>
  <si>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</si>
  <si>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</si>
  <si>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</si>
  <si>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</si>
  <si>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</si>
  <si>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</si>
  <si>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</si>
  <si>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 xml:space="preserve">Tax Credits.  Both Federal law and the state law require that various requirements be met on an ongoing basis.  I </t>
  </si>
  <si>
    <t xml:space="preserve">I agree to hold TCAC, its members, officers, agents, and employees harmless from any matters arising out of or </t>
  </si>
  <si>
    <t>related to the Credit programs.</t>
  </si>
  <si>
    <t>Subtotal Annual Federal Credit:</t>
  </si>
  <si>
    <t>Total Credits Necessary for Feasibility</t>
  </si>
  <si>
    <t>agree that compliance with these requirements is the responsibility of the applicant.</t>
  </si>
  <si>
    <t xml:space="preserve">Real Estate Tax Rate:  </t>
  </si>
  <si>
    <t>b) Public Park</t>
  </si>
  <si>
    <t>f) Senior Developments: Daily Operated Senior Center</t>
  </si>
  <si>
    <t>Alameda</t>
  </si>
  <si>
    <t>Alpine</t>
  </si>
  <si>
    <t xml:space="preserve">complete the application. For threshold omissions other than reproduction or assembly errors, the Executive </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</si>
  <si>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</si>
  <si>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</si>
  <si>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</si>
  <si>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</si>
  <si>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</si>
  <si>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</si>
  <si>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</si>
  <si>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</si>
  <si>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</si>
  <si>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</si>
  <si>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</si>
  <si>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</si>
  <si>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</si>
  <si>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</si>
  <si>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</si>
  <si>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</si>
  <si>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</si>
  <si>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</si>
  <si>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</si>
  <si>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</si>
  <si>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</si>
  <si>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</si>
  <si>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</si>
  <si>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(if yes, explain here)</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</si>
  <si>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</si>
  <si>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</si>
  <si>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</si>
  <si>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</si>
  <si>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</si>
  <si>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</si>
  <si>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</si>
  <si>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</si>
  <si>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</si>
  <si>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</si>
  <si>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</si>
  <si>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</si>
  <si>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</si>
  <si>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t xml:space="preserve">I certify that I believe that the project can be completed within the development budget and the development </t>
  </si>
  <si>
    <t xml:space="preserve">timetable set forth (which timetable is in conformance with TCAC rules and regulations) and can be operated in </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</si>
  <si>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</si>
  <si>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</si>
  <si>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</si>
  <si>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</si>
  <si>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</si>
  <si>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</si>
  <si>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</si>
  <si>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</si>
  <si>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</si>
  <si>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</si>
  <si>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</si>
  <si>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</si>
  <si>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</si>
  <si>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</si>
  <si>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 xml:space="preserve">seq. and California Revenue and Taxation Code Sections 12206, 17058, and 23610.5 pertaining to the State Tax </t>
  </si>
  <si>
    <t xml:space="preserve">Credit program.  I understand that the Federal and State Tax Credit programs are complex and involve long-term </t>
  </si>
  <si>
    <t>maintenance of housing for qualified low-income households.  I acknowledge that TCAC has recommended that</t>
  </si>
  <si>
    <t>I seek advice from my own tax attorney or tax advisor.</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</si>
  <si>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</si>
  <si>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</si>
  <si>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</si>
  <si>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</si>
  <si>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</si>
  <si>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</si>
  <si>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</si>
  <si>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</si>
  <si>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</si>
  <si>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</si>
  <si>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</si>
  <si>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</si>
  <si>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</si>
  <si>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</si>
  <si>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</si>
  <si>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</si>
  <si>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</si>
  <si>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</si>
  <si>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</si>
  <si>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</si>
  <si>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</si>
  <si>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</si>
  <si>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</si>
  <si>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</si>
  <si>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</si>
  <si>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</si>
  <si>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</si>
  <si>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</si>
  <si>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</si>
  <si>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</si>
  <si>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</si>
  <si>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</si>
  <si>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</si>
  <si>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</si>
  <si>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</si>
  <si>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</si>
  <si>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</si>
  <si>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VI. POINTS SYSTEM - SECTION 3:  SERVICE AMENITIES SOURCES AND USES BUDGET</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</si>
  <si>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</si>
  <si>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</si>
  <si>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</si>
  <si>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</si>
  <si>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</si>
  <si>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</si>
  <si>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</si>
  <si>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</si>
  <si>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</si>
  <si>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</si>
  <si>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</si>
  <si>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</si>
  <si>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Local Reviewing Agency for the Tax Credit Allocation Committee.  I agree that it is also my responsibility to provide</t>
  </si>
  <si>
    <t>such other information as TCAC requests as necessary to evaluate my application.  I represent that if a reservation</t>
  </si>
  <si>
    <t>or allocation of Credit is made as a result of this application, I will also furnish promptly such other supporting</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</si>
  <si>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</si>
  <si>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</si>
  <si>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</si>
  <si>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</si>
  <si>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</si>
  <si>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</si>
  <si>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</si>
  <si>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</si>
  <si>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financial feasibility analyses which TCAC is required to perform on at least three occasions.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</si>
  <si>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</si>
  <si>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</si>
  <si>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</si>
  <si>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</si>
  <si>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</si>
  <si>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</si>
  <si>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</si>
  <si>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</si>
  <si>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</si>
  <si>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</si>
  <si>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c</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</si>
  <si>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</si>
  <si>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</si>
  <si>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</si>
  <si>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</si>
  <si>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</si>
  <si>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</si>
  <si>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</si>
  <si>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</si>
  <si>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</si>
  <si>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</si>
  <si>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</si>
  <si>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</si>
  <si>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</si>
  <si>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</si>
  <si>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</si>
  <si>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</si>
  <si>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</si>
  <si>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</si>
  <si>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</si>
  <si>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</si>
  <si>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</si>
  <si>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</si>
  <si>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</si>
  <si>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</si>
  <si>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</si>
  <si>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</si>
  <si>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</si>
  <si>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</si>
  <si>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</si>
  <si>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</si>
  <si>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</si>
  <si>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</si>
  <si>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</si>
  <si>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</si>
  <si>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</si>
  <si>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</si>
  <si>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</si>
  <si>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</si>
  <si>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</si>
  <si>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</si>
  <si>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</si>
  <si>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</si>
  <si>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</si>
  <si>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</si>
  <si>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</si>
  <si>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</si>
  <si>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</si>
  <si>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</si>
  <si>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</si>
  <si>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</si>
  <si>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information and documents as may be requested. I understand that TCAC may verify information provided and</t>
  </si>
  <si>
    <t>analyze materials submitted as well as conduct its own investigation to evaluate the application. I recognize that I</t>
  </si>
  <si>
    <t>have an affirmative duty to inform TCAC when any information in the application or supplemental materials is no</t>
  </si>
  <si>
    <t xml:space="preserve">longer true and to supply TCAC with the latest and accurate information. </t>
  </si>
  <si>
    <t>Factor Amount</t>
  </si>
  <si>
    <t>h) Medical Clinic or Hospital</t>
  </si>
  <si>
    <t>i) Pharmacy</t>
  </si>
  <si>
    <t>j) In-unit High Speed Internet Service</t>
  </si>
  <si>
    <t>Total Points for Internet Service:</t>
  </si>
  <si>
    <t>If irregular, specify measurements in feet, acres, and square feet:</t>
  </si>
  <si>
    <t xml:space="preserve">for the purpose of providing low-income rental housing as herein described.  I understand that Credit amount(s) </t>
  </si>
  <si>
    <t xml:space="preserve">I acknowledge that if I receive a reservation of Tax Credits, I will be required to submit requisite documentation at </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</si>
  <si>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</si>
  <si>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</si>
  <si>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</si>
  <si>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</si>
  <si>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</si>
  <si>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</si>
  <si>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</si>
  <si>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</si>
  <si>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</si>
  <si>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Homeless/formerly homeless</t>
  </si>
  <si>
    <t>Transitional housing</t>
  </si>
  <si>
    <t>Persons with physical, mental, development disabilities</t>
  </si>
  <si>
    <t>For 4% federal applications only:</t>
  </si>
  <si>
    <t>Rural area consistent with TCAC methodology</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</si>
  <si>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</si>
  <si>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</si>
  <si>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</si>
  <si>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</si>
  <si>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</si>
  <si>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</si>
  <si>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</si>
  <si>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</si>
  <si>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</si>
  <si>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</si>
  <si>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</si>
  <si>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</si>
  <si>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</si>
  <si>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</si>
  <si>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</si>
  <si>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</si>
  <si>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TCAC #</t>
  </si>
  <si>
    <t>CA -</t>
  </si>
  <si>
    <t>-</t>
  </si>
  <si>
    <t>MAXIMUM POINTS</t>
  </si>
  <si>
    <t>APPLICANT POINTS</t>
  </si>
  <si>
    <t>TOTAL
POINTS</t>
  </si>
  <si>
    <t>General Partner Experience</t>
  </si>
  <si>
    <t xml:space="preserve">Management Company Experience </t>
  </si>
  <si>
    <t>Variance Approved or Required</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</si>
  <si>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</si>
  <si>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</si>
  <si>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</si>
  <si>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</si>
  <si>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</si>
  <si>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</si>
  <si>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</si>
  <si>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</si>
  <si>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</si>
  <si>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</si>
  <si>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</si>
  <si>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</si>
  <si>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</si>
  <si>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</si>
  <si>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</si>
  <si>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</si>
  <si>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</si>
  <si>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</si>
  <si>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</si>
  <si>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</si>
  <si>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</si>
  <si>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</si>
  <si>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</si>
  <si>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</si>
  <si>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</si>
  <si>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</si>
  <si>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</si>
  <si>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</si>
  <si>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</si>
  <si>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</si>
  <si>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</si>
  <si>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</si>
  <si>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</si>
  <si>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</si>
  <si>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</si>
  <si>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</si>
  <si>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</si>
  <si>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</si>
  <si>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</si>
  <si>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</si>
  <si>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</si>
  <si>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</si>
  <si>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</si>
  <si>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</si>
  <si>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</si>
  <si>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</si>
  <si>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</si>
  <si>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</si>
  <si>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</si>
  <si>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</si>
  <si>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</si>
  <si>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</si>
  <si>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</si>
  <si>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</si>
  <si>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applying for State Tax Credits, I represent I have also read California Health and Safety Code Sections 50199.4 et </t>
  </si>
  <si>
    <t xml:space="preserve">The undersigned applicant hereby makes application to the California Tax Credit Allocation Committee (“TCAC”) </t>
  </si>
  <si>
    <t xml:space="preserve">Large Family Projects </t>
  </si>
  <si>
    <t xml:space="preserve">Senior Projects </t>
  </si>
  <si>
    <t xml:space="preserve">Site Amenities </t>
  </si>
  <si>
    <t xml:space="preserve">Service Amenities </t>
  </si>
  <si>
    <t>NO MAX</t>
  </si>
  <si>
    <t>*Negative Points (if any, please enter amount:)</t>
  </si>
  <si>
    <t xml:space="preserve">I acknowledge that neither the Federal nor the State Tax Credit programs are entitlement programs and that my </t>
  </si>
  <si>
    <t xml:space="preserve">application will be evaluated based on the Credit statutes, regulations, and the Qualified Allocation Plan adopted </t>
  </si>
  <si>
    <t>by TCAC which identify the priorities and other standards which will be employed to evaluate applications.</t>
  </si>
  <si>
    <t>NC/Rehab</t>
  </si>
  <si>
    <t>Management Company Name:</t>
  </si>
  <si>
    <t>California Tax Credit Allocation Committee</t>
  </si>
  <si>
    <t>County</t>
  </si>
  <si>
    <t>Project 100% Rents:</t>
  </si>
  <si>
    <t>b.</t>
  </si>
  <si>
    <t xml:space="preserve">I represent that I have read and understand the requirements set forth in Regulation Section 10322(j) pertaining to </t>
  </si>
  <si>
    <t>re-applications for Credit.</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</si>
  <si>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</si>
  <si>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</si>
  <si>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</si>
  <si>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</si>
  <si>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</si>
  <si>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</si>
  <si>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</si>
  <si>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</si>
  <si>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</si>
  <si>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</si>
  <si>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</si>
  <si>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</si>
  <si>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</si>
  <si>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</si>
  <si>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</si>
  <si>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</si>
  <si>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</si>
  <si>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</si>
  <si>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</si>
  <si>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</si>
  <si>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</si>
  <si>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</si>
  <si>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</si>
  <si>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</si>
  <si>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</si>
  <si>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</si>
  <si>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 xml:space="preserve">I acknowledge that the information submitted to TCAC in this application or supplemental thereto may be subject </t>
  </si>
  <si>
    <t>to the Public Records Act or other disclosure.  I understand that TCAC may make such information public.</t>
  </si>
  <si>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</si>
  <si>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</si>
  <si>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</si>
  <si>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</si>
  <si>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</si>
  <si>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</si>
  <si>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</si>
  <si>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</si>
  <si>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</si>
  <si>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</si>
  <si>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</si>
  <si>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</si>
  <si>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</si>
  <si>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 xml:space="preserve">I acknowledge that if I obtain an allocation of Federal and/or State Tax Credits, I will be required to enter into a </t>
  </si>
  <si>
    <t>LAND COST/ACQUISITION</t>
  </si>
  <si>
    <t>Legal</t>
  </si>
  <si>
    <t>5 Bedrooms</t>
  </si>
  <si>
    <t>Included in Eligible Basis
Yes/No</t>
  </si>
  <si>
    <t>Total Annual Operating Expenses Per Unit:</t>
  </si>
  <si>
    <t>Licensed child care*</t>
  </si>
  <si>
    <t>After school program*</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</si>
  <si>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</si>
  <si>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</si>
  <si>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</si>
  <si>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</si>
  <si>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</si>
  <si>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</si>
  <si>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representation regarding the ability to claim any Credit which may be allocated.</t>
  </si>
  <si>
    <t xml:space="preserve">In carrying out the development and operation of the project, I agree to comply with all applicable federal and state </t>
  </si>
  <si>
    <t xml:space="preserve">laws regarding unlawful discrimination and will abide by all Credit program requirements, rules, and regulations. </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</si>
  <si>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</si>
  <si>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</si>
  <si>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</si>
  <si>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</si>
  <si>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</si>
  <si>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</si>
  <si>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</si>
  <si>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</si>
  <si>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</si>
  <si>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</si>
  <si>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</si>
  <si>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</si>
  <si>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</si>
  <si>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</si>
  <si>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</si>
  <si>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</si>
  <si>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</si>
  <si>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</si>
  <si>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</si>
  <si>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</si>
  <si>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</si>
  <si>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</si>
  <si>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</si>
  <si>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</si>
  <si>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</si>
  <si>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</si>
  <si>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</si>
  <si>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 xml:space="preserve">regulatory agreement which will contain, among other things, all the conditions under which the Credits were </t>
  </si>
  <si>
    <t>provided including the selection criteria delineated in this application.</t>
  </si>
  <si>
    <t>I declare under penalty of perjury that the information contained in the application, exhibits, attachments, and any</t>
  </si>
  <si>
    <t>Answer the questions as shown.</t>
  </si>
  <si>
    <t>General Instructions</t>
  </si>
  <si>
    <t>for a reservation of Federal, or Federal and State Low-Income Housing Tax Credits (“Credits”) in the amount(s) of:</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</si>
  <si>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</si>
  <si>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</si>
  <si>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</si>
  <si>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</si>
  <si>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</si>
  <si>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</si>
  <si>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</si>
  <si>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</si>
  <si>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</si>
  <si>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</si>
  <si>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</si>
  <si>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</si>
  <si>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</si>
  <si>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</si>
  <si>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</si>
  <si>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</si>
  <si>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</si>
  <si>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</si>
  <si>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</si>
  <si>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</si>
  <si>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</si>
  <si>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</si>
  <si>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</si>
  <si>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</si>
  <si>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</si>
  <si>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</si>
  <si>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</si>
  <si>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</si>
  <si>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Total Points for Public Elementary, Middle, or High School Amenity:</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</si>
  <si>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</si>
  <si>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</si>
  <si>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</si>
  <si>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</si>
  <si>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</si>
  <si>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</si>
  <si>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</si>
  <si>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</si>
  <si>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</si>
  <si>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</si>
  <si>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</si>
  <si>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</si>
  <si>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</si>
  <si>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</si>
  <si>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</si>
  <si>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</si>
  <si>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</si>
  <si>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</si>
  <si>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</si>
  <si>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</si>
  <si>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</si>
  <si>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</si>
  <si>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</si>
  <si>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</si>
  <si>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</si>
  <si>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</si>
  <si>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</si>
  <si>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</si>
  <si>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</si>
  <si>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</si>
  <si>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</si>
  <si>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</si>
  <si>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</si>
  <si>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</si>
  <si>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</si>
  <si>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</si>
  <si>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</si>
  <si>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</si>
  <si>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</si>
  <si>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</si>
  <si>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</si>
  <si>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</si>
  <si>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</si>
  <si>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</si>
  <si>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</si>
  <si>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</si>
  <si>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</si>
  <si>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</si>
  <si>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</si>
  <si>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</si>
  <si>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</si>
  <si>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</si>
  <si>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</si>
  <si>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</si>
  <si>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</si>
  <si>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</si>
  <si>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</si>
  <si>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</si>
  <si>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</si>
  <si>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</si>
  <si>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</si>
  <si>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</si>
  <si>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</si>
  <si>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</si>
  <si>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</si>
  <si>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</si>
  <si>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</si>
  <si>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</si>
  <si>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</si>
  <si>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</si>
  <si>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</si>
  <si>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</si>
  <si>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</si>
  <si>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</si>
  <si>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</si>
  <si>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</si>
  <si>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</si>
  <si>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</si>
  <si>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</si>
  <si>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</si>
  <si>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</si>
  <si>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</si>
  <si>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</si>
  <si>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</si>
  <si>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</si>
  <si>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</si>
  <si>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</si>
  <si>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</si>
  <si>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</si>
  <si>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</si>
  <si>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</si>
  <si>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</si>
  <si>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g</t>
  </si>
  <si>
    <t>h</t>
  </si>
  <si>
    <t>E</t>
  </si>
  <si>
    <t>Toggle the desired set-aside election, if project is applying under one of these set-asides.</t>
  </si>
  <si>
    <t>Toggle the selected housing type.</t>
  </si>
  <si>
    <t>Negative Declaration under CEQA</t>
  </si>
  <si>
    <t>NEPA</t>
  </si>
  <si>
    <t>Toxic Report</t>
  </si>
  <si>
    <t>Soils Report</t>
  </si>
  <si>
    <t>Coastal Commission Approval</t>
  </si>
  <si>
    <t>Article 34 of State Constitution</t>
  </si>
  <si>
    <t xml:space="preserve">Site Plan </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</si>
  <si>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</si>
  <si>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</si>
  <si>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</si>
  <si>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</si>
  <si>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</si>
  <si>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</si>
  <si>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</si>
  <si>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</si>
  <si>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</si>
  <si>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</si>
  <si>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</si>
  <si>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TCAC App/Allocation/Monitoring Fees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</si>
  <si>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</si>
  <si>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</si>
  <si>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</si>
  <si>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</si>
  <si>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</si>
  <si>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</si>
  <si>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</si>
  <si>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</si>
  <si>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</si>
  <si>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</si>
  <si>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</si>
  <si>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</si>
  <si>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</si>
  <si>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</si>
  <si>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</si>
  <si>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</si>
  <si>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</si>
  <si>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</si>
  <si>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</si>
  <si>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</si>
  <si>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</si>
  <si>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</si>
  <si>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</si>
  <si>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</si>
  <si>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</si>
  <si>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</si>
  <si>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</si>
  <si>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</si>
  <si>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</si>
  <si>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</si>
  <si>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Is this project a Re-syndication of a current TCAC project?</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</si>
  <si>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</si>
  <si>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</si>
  <si>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</si>
  <si>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</si>
  <si>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</si>
  <si>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</si>
  <si>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</si>
  <si>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</si>
  <si>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</si>
  <si>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</si>
  <si>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</si>
  <si>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</si>
  <si>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</si>
  <si>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</si>
  <si>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</si>
  <si>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</si>
  <si>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</si>
  <si>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</si>
  <si>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</si>
  <si>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</si>
  <si>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</si>
  <si>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</si>
  <si>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</si>
  <si>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</si>
  <si>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</si>
  <si>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</si>
  <si>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</si>
  <si>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</si>
  <si>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</si>
  <si>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</si>
  <si>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</si>
  <si>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</si>
  <si>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</si>
  <si>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</si>
  <si>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</si>
  <si>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</si>
  <si>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</si>
  <si>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</si>
  <si>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</si>
  <si>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</si>
  <si>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</si>
  <si>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</si>
  <si>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</si>
  <si>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t>a</t>
  </si>
  <si>
    <t>b</t>
  </si>
  <si>
    <t>d</t>
  </si>
  <si>
    <t>e</t>
  </si>
  <si>
    <t>f</t>
  </si>
  <si>
    <r>
      <t xml:space="preserve">Complete the yellow-shaded areas of the services budget below, including information on the source and use of each service funding commitment.  </t>
    </r>
    <r>
      <rPr>
        <b/>
        <u/>
        <sz val="11"/>
        <rFont val="Arial"/>
        <family val="2"/>
      </rPr>
      <t>Do not alter the format of this spreadsheet.</t>
    </r>
    <r>
      <rPr>
        <b/>
        <sz val="11"/>
        <rFont val="Arial"/>
        <family val="2"/>
      </rPr>
      <t xml:space="preserve">  </t>
    </r>
    <r>
      <rPr>
        <sz val="11"/>
        <rFont val="Arial"/>
        <family val="2"/>
      </rPr>
      <t>Rows may be added as needed to provide additional details regarding the services to be provided.</t>
    </r>
  </si>
  <si>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</si>
  <si>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</si>
  <si>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</si>
  <si>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</si>
  <si>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</si>
  <si>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</si>
  <si>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</si>
  <si>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</si>
  <si>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</si>
  <si>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</si>
  <si>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</si>
  <si>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</si>
  <si>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</si>
  <si>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</si>
  <si>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</si>
  <si>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</si>
  <si>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</si>
  <si>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</si>
  <si>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</si>
  <si>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</si>
  <si>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</si>
  <si>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</si>
  <si>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</si>
  <si>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</si>
  <si>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</si>
  <si>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</si>
  <si>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</si>
  <si>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</si>
  <si>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</si>
  <si>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</si>
  <si>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</si>
  <si>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</si>
  <si>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</si>
  <si>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</si>
  <si>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</si>
  <si>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</si>
  <si>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</si>
  <si>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</si>
  <si>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</si>
  <si>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</si>
  <si>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</si>
  <si>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</si>
  <si>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</si>
  <si>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</si>
  <si>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</si>
  <si>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</si>
  <si>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</si>
  <si>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</si>
  <si>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</si>
  <si>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</si>
  <si>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</si>
  <si>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</si>
  <si>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</si>
  <si>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</si>
  <si>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</si>
  <si>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</si>
  <si>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</si>
  <si>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</si>
  <si>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</si>
  <si>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</si>
  <si>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</si>
  <si>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</si>
  <si>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</si>
  <si>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</si>
  <si>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</si>
  <si>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</si>
  <si>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</si>
  <si>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</si>
  <si>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</si>
  <si>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</si>
  <si>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</si>
  <si>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</si>
  <si>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</si>
  <si>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</si>
  <si>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</si>
  <si>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</si>
  <si>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</si>
  <si>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</si>
  <si>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</si>
  <si>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</si>
  <si>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</si>
  <si>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</si>
  <si>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</si>
  <si>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</si>
  <si>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</si>
  <si>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</si>
  <si>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</si>
  <si>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</si>
  <si>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</si>
  <si>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</si>
  <si>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</si>
  <si>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</si>
  <si>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</si>
  <si>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</si>
  <si>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</si>
  <si>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</si>
  <si>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</si>
  <si>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</si>
  <si>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</si>
  <si>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</si>
  <si>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</si>
  <si>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</si>
  <si>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</si>
  <si>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</si>
  <si>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</si>
  <si>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</si>
  <si>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</si>
  <si>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</si>
  <si>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</si>
  <si>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</si>
  <si>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</si>
  <si>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</si>
  <si>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</si>
  <si>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</si>
  <si>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</si>
  <si>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</si>
  <si>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</si>
  <si>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</si>
  <si>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</si>
  <si>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</si>
  <si>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</si>
  <si>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For City Manager, please refer to the following the website below:</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</si>
  <si>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</si>
  <si>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</si>
  <si>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</si>
  <si>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</si>
  <si>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</si>
  <si>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</si>
  <si>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</si>
  <si>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</si>
  <si>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</si>
  <si>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</si>
  <si>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</si>
  <si>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</si>
  <si>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</si>
  <si>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</si>
  <si>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</si>
  <si>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</si>
  <si>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</si>
  <si>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</si>
  <si>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</si>
  <si>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</si>
  <si>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</si>
  <si>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</si>
  <si>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</si>
  <si>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</si>
  <si>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</si>
  <si>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</si>
  <si>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</si>
  <si>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</si>
  <si>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</si>
  <si>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</si>
  <si>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Name of Lender/Source</t>
  </si>
  <si>
    <t>Interest Rate</t>
  </si>
  <si>
    <t>Amount of Funds</t>
  </si>
  <si>
    <t>7)</t>
  </si>
  <si>
    <t>8)</t>
  </si>
  <si>
    <t>Joint Venture</t>
  </si>
  <si>
    <t>Architect:</t>
  </si>
  <si>
    <t>Name of Applicant:</t>
  </si>
  <si>
    <t>Name of Project:</t>
  </si>
  <si>
    <t>Housing type:</t>
  </si>
  <si>
    <t>The site is within 1/2 mile of a full scale grocery store/supermarket of at least 25,000 gross interior square feet where staples, fresh meat, and fresh produce are sold (1 mile for Rural set-aside projects).</t>
  </si>
  <si>
    <t>preliminarily reserved for this project, if any, may be adjusted over time based upon changing project costs and</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</si>
  <si>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</si>
  <si>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</si>
  <si>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</si>
  <si>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</si>
  <si>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</si>
  <si>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</si>
  <si>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</si>
  <si>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</si>
  <si>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</si>
  <si>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</si>
  <si>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</si>
  <si>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</si>
  <si>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</si>
  <si>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</si>
  <si>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</si>
  <si>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</si>
  <si>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</si>
  <si>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</si>
  <si>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</si>
  <si>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</si>
  <si>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 xml:space="preserve">I agree that TCAC will determine the Credit amount to comply with requirements of IRC Section 42 but that TCAC </t>
  </si>
  <si>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</si>
  <si>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</si>
  <si>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</si>
  <si>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</si>
  <si>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</si>
  <si>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</si>
  <si>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</si>
  <si>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</si>
  <si>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</si>
  <si>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</si>
  <si>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</si>
  <si>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</si>
  <si>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</si>
  <si>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</si>
  <si>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</si>
  <si>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</si>
  <si>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</si>
  <si>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 xml:space="preserve">in no way warrants the feasibility or viability of the project to anyone for any purpose.  I acknowledge that TCAC </t>
  </si>
  <si>
    <t xml:space="preserve">makes no representation regarding the effect of any tax Credit which may be allocated and makes no </t>
  </si>
  <si>
    <t>Term:</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</si>
  <si>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</si>
  <si>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</si>
  <si>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</si>
  <si>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</si>
  <si>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</si>
  <si>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</si>
  <si>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</si>
  <si>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</si>
  <si>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</si>
  <si>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</si>
  <si>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</si>
  <si>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</si>
  <si>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 xml:space="preserve">I acknowledge that a reservation of Federal or State Tax Credits does not guarantee that the project will qualify for </t>
  </si>
  <si>
    <t>Application 
Submittal</t>
  </si>
  <si>
    <t>Estimated 
Approval</t>
  </si>
  <si>
    <t>Sources and Uses Budget</t>
  </si>
  <si>
    <t>TOTAL PROJECT
COST</t>
  </si>
  <si>
    <t>TAX CREDIT EQUITY</t>
  </si>
  <si>
    <t>30% PVC for Acquisition</t>
  </si>
  <si>
    <t>I agree it is my responsibility to provide TCAC with the original complete application and the Local Reviewing Agency</t>
  </si>
  <si>
    <t>an exact copy of the application.  I agree that I have included a letter from the local government and the appropriate</t>
  </si>
  <si>
    <t>Local Reviewing Agency of the jurisdiction in which the project is located identifying the agency designated as the</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</si>
  <si>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</si>
  <si>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</si>
  <si>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</si>
  <si>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</si>
  <si>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</si>
  <si>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</si>
  <si>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</si>
  <si>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</si>
  <si>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</si>
  <si>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</si>
  <si>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</si>
  <si>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</si>
  <si>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</si>
  <si>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</si>
  <si>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</si>
  <si>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</si>
  <si>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</si>
  <si>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</si>
  <si>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</si>
  <si>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</si>
  <si>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</si>
  <si>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</si>
  <si>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</si>
  <si>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</si>
  <si>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</si>
  <si>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</si>
  <si>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</si>
  <si>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</si>
  <si>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</si>
  <si>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</si>
  <si>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</si>
  <si>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</si>
  <si>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</si>
  <si>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</si>
  <si>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</si>
  <si>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</si>
  <si>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</si>
  <si>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</si>
  <si>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</si>
  <si>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</si>
  <si>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</si>
  <si>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</si>
  <si>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</si>
  <si>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</si>
  <si>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</si>
  <si>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</si>
  <si>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</si>
  <si>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</si>
  <si>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</si>
  <si>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</si>
  <si>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</si>
  <si>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</si>
  <si>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Actual 
Approval</t>
  </si>
  <si>
    <t>Project Financing</t>
  </si>
  <si>
    <t>Points System</t>
  </si>
  <si>
    <t>7 Points</t>
  </si>
  <si>
    <t>Two or More Story With an Elevator:</t>
  </si>
  <si>
    <t>Two or More Story Without an Elevator:</t>
  </si>
  <si>
    <t>One or More Levels of Subterranean Parking:</t>
  </si>
  <si>
    <t>Conditional Use Permit Approved or Required</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</si>
  <si>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</si>
  <si>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</si>
  <si>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</si>
  <si>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</si>
  <si>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</si>
  <si>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</si>
  <si>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</si>
  <si>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</si>
  <si>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</si>
  <si>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</si>
  <si>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</si>
  <si>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Set-Aside Election  (TCAC Reg. Section 10315(a)-(g))</t>
  </si>
  <si>
    <t>If you selected Special Needs please list the percentage of Special Needs Units.</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</si>
  <si>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</si>
  <si>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</si>
  <si>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</si>
  <si>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</si>
  <si>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</si>
  <si>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Services to be Provided</t>
  </si>
  <si>
    <t>Total Dollars Committed</t>
  </si>
  <si>
    <t>1.</t>
  </si>
  <si>
    <t>2.</t>
  </si>
  <si>
    <t>3.</t>
  </si>
  <si>
    <t>4.</t>
  </si>
  <si>
    <t>5.</t>
  </si>
  <si>
    <t>6.</t>
  </si>
  <si>
    <t>7.</t>
  </si>
  <si>
    <t>8.</t>
  </si>
  <si>
    <t>9.</t>
  </si>
  <si>
    <t>Other Services:</t>
  </si>
  <si>
    <t>Service Coordinator</t>
  </si>
  <si>
    <t>Other Services Specialist</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</si>
  <si>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</si>
  <si>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</si>
  <si>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</si>
  <si>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</si>
  <si>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</si>
  <si>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</si>
  <si>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</si>
  <si>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</si>
  <si>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</si>
  <si>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</si>
  <si>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</si>
  <si>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If the project is a scattered site, please contact TCAC for application instructions.</t>
  </si>
  <si>
    <t>Provide the lender name, the percentage rate, the amortizing term, and the loan amount.</t>
  </si>
  <si>
    <t>Provide the lender name, the percentage rate, the amortizing term, the loan amount and the annual</t>
  </si>
  <si>
    <t xml:space="preserve">I represent I have read Section 42 of the Internal Revenue Code (IRC) pertaining to Federal Tax Credits, and if </t>
  </si>
  <si>
    <t>Use this spreadsheet with Microsoft Excel 97 or above.</t>
  </si>
  <si>
    <t>TCAC cannot accept applications submitted via e-mail.</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</si>
  <si>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</si>
  <si>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</si>
  <si>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</si>
  <si>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</si>
  <si>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</si>
  <si>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</si>
  <si>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</si>
  <si>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</si>
  <si>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the manner proposed within the operating budget set forth.</t>
  </si>
  <si>
    <t xml:space="preserve">I further certify that more than 10% of the project's total reasonably expected basis cost will be incurred and the </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</si>
  <si>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</si>
  <si>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</si>
  <si>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</si>
  <si>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</si>
  <si>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</si>
  <si>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</si>
  <si>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</si>
  <si>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</si>
  <si>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</si>
  <si>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</si>
  <si>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</si>
  <si>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</si>
  <si>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</si>
  <si>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</si>
  <si>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</si>
  <si>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</si>
  <si>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</si>
  <si>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</si>
  <si>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</si>
  <si>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</si>
  <si>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</si>
  <si>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</si>
  <si>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</si>
  <si>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</si>
  <si>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</si>
  <si>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</si>
  <si>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</si>
  <si>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</si>
  <si>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</si>
  <si>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</si>
  <si>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</si>
  <si>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</si>
  <si>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</si>
  <si>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</si>
  <si>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</si>
  <si>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</si>
  <si>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</si>
  <si>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</si>
  <si>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</si>
  <si>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</si>
  <si>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</si>
  <si>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</si>
  <si>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</si>
  <si>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</si>
  <si>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</si>
  <si>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</si>
  <si>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</si>
  <si>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</si>
  <si>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</si>
  <si>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</si>
  <si>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</si>
  <si>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</si>
  <si>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</si>
  <si>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</si>
  <si>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</si>
  <si>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</si>
  <si>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</si>
  <si>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</si>
  <si>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</si>
  <si>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</si>
  <si>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</si>
  <si>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</si>
  <si>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</si>
  <si>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</si>
  <si>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</si>
  <si>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</si>
  <si>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</si>
  <si>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</si>
  <si>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</si>
  <si>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</si>
  <si>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</si>
  <si>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</si>
  <si>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</si>
  <si>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</si>
  <si>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</si>
  <si>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</si>
  <si>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</si>
  <si>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</si>
  <si>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</si>
  <si>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</si>
  <si>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</si>
  <si>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</si>
  <si>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</si>
  <si>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</si>
  <si>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</si>
  <si>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</si>
  <si>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</si>
  <si>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</si>
  <si>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</si>
  <si>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</si>
  <si>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</si>
  <si>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</si>
  <si>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</si>
  <si>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</si>
  <si>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</si>
  <si>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</si>
  <si>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</si>
  <si>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</si>
  <si>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</si>
  <si>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</si>
  <si>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</si>
  <si>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</si>
  <si>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</si>
  <si>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</si>
  <si>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</si>
  <si>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</si>
  <si>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</si>
  <si>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</si>
  <si>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</si>
  <si>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</si>
  <si>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</si>
  <si>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</si>
  <si>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MHP</t>
  </si>
  <si>
    <t>both for-profit</t>
  </si>
  <si>
    <t>Columns (a)-(g) should be completed in ascending order (i.e. Studio, 1 bdrm, 2 bdrm, etc.)</t>
  </si>
  <si>
    <t>order also (i.e. 1 bdrm @30%, 1 bdrm @35% etc.).</t>
  </si>
  <si>
    <t>Subtract Photovoltaic Credit (as applicable):</t>
  </si>
  <si>
    <t>Adult education, health, skill building classes</t>
  </si>
  <si>
    <t>Health and wellness services and programs</t>
  </si>
  <si>
    <t>Case manager</t>
  </si>
  <si>
    <t>Service Coordinator or Other Services Specialist</t>
  </si>
  <si>
    <t>10.</t>
  </si>
  <si>
    <t>11.</t>
  </si>
  <si>
    <t>12.</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</si>
  <si>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</si>
  <si>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</si>
  <si>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</si>
  <si>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</si>
  <si>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</si>
  <si>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</si>
  <si>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</si>
  <si>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</si>
  <si>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</si>
  <si>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</si>
  <si>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Provide evidence of eligibility and include:</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</si>
  <si>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</si>
  <si>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</si>
  <si>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</si>
  <si>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</si>
  <si>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</si>
  <si>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</si>
  <si>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Approval Dates</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</si>
  <si>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</si>
  <si>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</si>
  <si>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</si>
  <si>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</si>
  <si>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</si>
  <si>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</si>
  <si>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</si>
  <si>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Director may request additional clarifying information from other government entities.</t>
  </si>
  <si>
    <t>land acquired by the date specified in the reservation preliminary or final letter.</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</si>
  <si>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</si>
  <si>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</si>
  <si>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</si>
  <si>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</si>
  <si>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</si>
  <si>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SUBMIT ONE APPLICATION WITH ATTACHMENTS TO TCAC AND</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</si>
  <si>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</si>
  <si>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</si>
  <si>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</si>
  <si>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</si>
  <si>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</si>
  <si>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</si>
  <si>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</si>
  <si>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</si>
  <si>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</si>
  <si>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</si>
  <si>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</si>
  <si>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</si>
  <si>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</si>
  <si>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</si>
  <si>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</si>
  <si>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</si>
  <si>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</si>
  <si>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</si>
  <si>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</si>
  <si>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</si>
  <si>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</si>
  <si>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</si>
  <si>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</si>
  <si>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</si>
  <si>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</si>
  <si>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</si>
  <si>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</si>
  <si>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</si>
  <si>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</si>
  <si>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</si>
  <si>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</si>
  <si>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</si>
  <si>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</si>
  <si>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</si>
  <si>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</si>
  <si>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</si>
  <si>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</si>
  <si>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</si>
  <si>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</si>
  <si>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</si>
  <si>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</si>
  <si>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</si>
  <si>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</si>
  <si>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</si>
  <si>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</si>
  <si>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</si>
  <si>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</si>
  <si>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</si>
  <si>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</si>
  <si>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</si>
  <si>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</si>
  <si>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</si>
  <si>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</si>
  <si>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</si>
  <si>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</si>
  <si>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</si>
  <si>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</si>
  <si>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</si>
  <si>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</si>
  <si>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</si>
  <si>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</si>
  <si>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r>
      <t>Quantity of Services Committed (Hours/Yr or FTE)</t>
    </r>
    <r>
      <rPr>
        <b/>
        <vertAlign val="superscript"/>
        <sz val="11"/>
        <rFont val="Arial"/>
        <family val="2"/>
      </rPr>
      <t>1</t>
    </r>
  </si>
  <si>
    <t>Name of Service Provider</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</si>
  <si>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</si>
  <si>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</si>
  <si>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</si>
  <si>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</si>
  <si>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</si>
  <si>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</si>
  <si>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</si>
  <si>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</si>
  <si>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</si>
  <si>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</si>
  <si>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</si>
  <si>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</si>
  <si>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</si>
  <si>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</si>
  <si>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</si>
  <si>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Evidence of TCAC Executive Director's prior approval of private transit system</t>
  </si>
  <si>
    <t>Evidence of TCAC Executive Director's prior approval of bus line aggregation</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</si>
  <si>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</si>
  <si>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</si>
  <si>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</si>
  <si>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</si>
  <si>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</si>
  <si>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</si>
  <si>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e) Public Elementary, Middle, or High School</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</si>
  <si>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</si>
  <si>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</si>
  <si>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</si>
  <si>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</si>
  <si>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</si>
  <si>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</si>
  <si>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</si>
  <si>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</si>
  <si>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</si>
  <si>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</si>
  <si>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t>further or supplemental documentation is true and correct to the best of my knowledge and belief.  I certify and</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</si>
  <si>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</si>
  <si>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</si>
  <si>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</si>
  <si>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</si>
  <si>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</si>
  <si>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</si>
  <si>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</si>
  <si>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</si>
  <si>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</si>
  <si>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</si>
  <si>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</si>
  <si>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</si>
  <si>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</si>
  <si>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</si>
  <si>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</si>
  <si>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t>Geographic Area (TCAC Reg. Section 10315(h))</t>
  </si>
  <si>
    <t>Housing Type Selection (TCAC Reg. Sections 10315(g) &amp; 10325(g))</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</si>
  <si>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</si>
  <si>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</si>
  <si>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</si>
  <si>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Nonprofit (homeless assistance)</t>
  </si>
  <si>
    <t>Rural</t>
  </si>
  <si>
    <t>Rural apportionment (Section 514)</t>
  </si>
  <si>
    <t>Rural apportionment (Section 515)</t>
  </si>
  <si>
    <t>Rural apportionment (HOME)</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</si>
  <si>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</si>
  <si>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</si>
  <si>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</si>
  <si>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</si>
  <si>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</si>
  <si>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</si>
  <si>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</si>
  <si>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</si>
  <si>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</si>
  <si>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</si>
  <si>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</si>
  <si>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</si>
  <si>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</si>
  <si>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</si>
  <si>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</si>
  <si>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</si>
  <si>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</si>
  <si>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</si>
  <si>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</si>
  <si>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</si>
  <si>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</si>
  <si>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</si>
  <si>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</si>
  <si>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</si>
  <si>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after the project is placed-in-service.</t>
  </si>
  <si>
    <t xml:space="preserve">application filing deadline, unless the Executive Director, at his or her sole discretion, determines that the deficiency </t>
  </si>
  <si>
    <t xml:space="preserve">shall be given up to five (5) business days from the date of receipt of staff notification, to submit said documents to </t>
  </si>
  <si>
    <t>is a clear reproduction or application assembly error, or an obviously transposed number.  In such cases, applicants</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</si>
  <si>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</si>
  <si>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</si>
  <si>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</si>
  <si>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</si>
  <si>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</si>
  <si>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</si>
  <si>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</si>
  <si>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</si>
  <si>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</si>
  <si>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</si>
  <si>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</si>
  <si>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</si>
  <si>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</si>
  <si>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</si>
  <si>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</si>
  <si>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</si>
  <si>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</si>
  <si>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</si>
  <si>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</si>
  <si>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</si>
  <si>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</si>
  <si>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</si>
  <si>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</si>
  <si>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</si>
  <si>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</si>
  <si>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</si>
  <si>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</si>
  <si>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</si>
  <si>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</si>
  <si>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</si>
  <si>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 xml:space="preserve">I certify that I have read and understand the provisions of Sections 10322(a) through (h).  No additional documents in </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</si>
  <si>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</si>
  <si>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</si>
  <si>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</si>
  <si>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</si>
  <si>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</si>
  <si>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</si>
  <si>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</si>
  <si>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</si>
  <si>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</si>
  <si>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</si>
  <si>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</si>
  <si>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</si>
  <si>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</si>
  <si>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</si>
  <si>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</si>
  <si>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</si>
  <si>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</si>
  <si>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</si>
  <si>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</si>
  <si>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</si>
  <si>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</si>
  <si>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</si>
  <si>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</si>
  <si>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t xml:space="preserve">support of the basic thresholds or point selection categories shall be accepted from the applicant beyond the </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</si>
  <si>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</si>
  <si>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</si>
  <si>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</si>
  <si>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</si>
  <si>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Current/original TCAC ID:</t>
  </si>
  <si>
    <t>First year of credit:</t>
  </si>
  <si>
    <t>See Checklist, Tab 8 for documentation requirements.</t>
  </si>
  <si>
    <t>Is the project subject to hold harmless rent limits?</t>
  </si>
  <si>
    <t>If yes, see page 18 and Checklist, Tab 8.</t>
  </si>
  <si>
    <t>Is this a resyndication project using hold harmless rent limits in the above table?</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</si>
  <si>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</si>
  <si>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</si>
  <si>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</si>
  <si>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</si>
  <si>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</si>
  <si>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</si>
  <si>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</si>
  <si>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</si>
  <si>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</si>
  <si>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</si>
  <si>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</si>
  <si>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</si>
  <si>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</si>
  <si>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</si>
  <si>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</si>
  <si>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</si>
  <si>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</si>
  <si>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</si>
  <si>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</si>
  <si>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</si>
  <si>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</si>
  <si>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</si>
  <si>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</si>
  <si>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</si>
  <si>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</si>
  <si>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</si>
  <si>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</si>
  <si>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See TCAC Regulation Section 10325(f)(7)(J) for complete requirements.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</si>
  <si>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</si>
  <si>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</si>
  <si>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</si>
  <si>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</si>
  <si>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</si>
  <si>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</si>
  <si>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</si>
  <si>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</si>
  <si>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</si>
  <si>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</si>
  <si>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</si>
  <si>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Are Transfer Event provisions applicable?  See questionnaire on TCAC website.</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</si>
  <si>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</si>
  <si>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</si>
  <si>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</si>
  <si>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</si>
  <si>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</si>
  <si>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</si>
  <si>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</si>
  <si>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</si>
  <si>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</si>
  <si>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Other Discretionary Reviews and Approvals</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</si>
  <si>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</si>
  <si>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</si>
  <si>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</si>
  <si>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</si>
  <si>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</si>
  <si>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</si>
  <si>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</si>
  <si>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</si>
  <si>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</si>
  <si>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</si>
  <si>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</si>
  <si>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</si>
  <si>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</si>
  <si>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</si>
  <si>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</si>
  <si>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</si>
  <si>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</si>
  <si>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</si>
  <si>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As the tax professional for the above-referenced low-income housing project, I certify under penalty of perjury, that the percentage of aggregate basis financed by tax-exempt bonds is:</t>
  </si>
  <si>
    <t>Signature of Project CPA/Tax Professional</t>
  </si>
  <si>
    <t>FOR PLACED IN SERVICE APPLICATION SUBMISSIONS:</t>
  </si>
  <si>
    <t>Is the project currently under a Capital Needs Agreement with TCAC?</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</si>
  <si>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</si>
  <si>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</si>
  <si>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</si>
  <si>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</si>
  <si>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</si>
  <si>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 xml:space="preserve">  Except for non-competitive projects with donated land, TCAC will not accept a budget with a nominal land value.  Please refer to the TCAC website for additional information and guidance.   </t>
  </si>
  <si>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</si>
  <si>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</si>
  <si>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</si>
  <si>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</si>
  <si>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</si>
  <si>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</si>
  <si>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</si>
  <si>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</si>
  <si>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</si>
  <si>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</si>
  <si>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</si>
  <si>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</si>
  <si>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</si>
  <si>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</si>
  <si>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</si>
  <si>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</si>
  <si>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</si>
  <si>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 xml:space="preserve">ferry terminal, bus station, or public bus stop.  (For rural set-aside projects, these points may be awarded </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</si>
  <si>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</si>
  <si>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</si>
  <si>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</si>
  <si>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</si>
  <si>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</si>
  <si>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</si>
  <si>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</si>
  <si>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</si>
  <si>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</si>
  <si>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</si>
  <si>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</si>
  <si>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</si>
  <si>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</si>
  <si>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</si>
  <si>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</si>
  <si>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In addition, certain point categories require completion of the TCAC Sustainable Building Method Workbook and accompanying </t>
  </si>
  <si>
    <t xml:space="preserve">Checklist Item Tab 25, and the TCAC website for requirements related to the TCAC Sustainable Building Method Workbook.  </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</si>
  <si>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</si>
  <si>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</si>
  <si>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</si>
  <si>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</si>
  <si>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</si>
  <si>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</si>
  <si>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</si>
  <si>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</si>
  <si>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</si>
  <si>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each of the following stages: for a carryover allocation; for readiness to proceed requirements if applicable; and</t>
  </si>
  <si>
    <t xml:space="preserve">immediate needs listed in the report, will be performed (unless a waiver is granted) prior to the project's rehabilitation </t>
  </si>
  <si>
    <t xml:space="preserve">I understand that any misrepresentation may result in cancellation of Tax Credit reservation, notification of the Internal </t>
  </si>
  <si>
    <t xml:space="preserve">Revenue Service and the Franchise Tax Board, and any other actions which TCAC is authorized to take pursuant to </t>
  </si>
  <si>
    <t xml:space="preserve">California Health and Safety Code Section 50199.22, issuance of fines pursuant to California Health and Safety Code </t>
  </si>
  <si>
    <t xml:space="preserve">Section 50199.10, and negative points per Regulation Section 10325(c)(3) or under general authority of state law. </t>
  </si>
  <si>
    <t>or promulgation of regulations.</t>
  </si>
  <si>
    <t>I acknowledge that all materials and requirements are subject to change by enactment of federal or state legislation</t>
  </si>
  <si>
    <t xml:space="preserve">Election to sell ("certificate') state credits: </t>
  </si>
  <si>
    <t xml:space="preserve">By selecting "Yes" or "No" in the box immediately before, I hereby </t>
  </si>
  <si>
    <t xml:space="preserve">Revenue and Taxation Code Sections 12206(o), 17058(q), and 23610.5(r). I further certify that the applicant is a </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</si>
  <si>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</si>
  <si>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</si>
  <si>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</si>
  <si>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</si>
  <si>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</si>
  <si>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</si>
  <si>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</si>
  <si>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</si>
  <si>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</si>
  <si>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</si>
  <si>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</si>
  <si>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**The number of units are linked to the Lowest Income Units table in the Application tab, but it may be adjusted manually.</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</si>
  <si>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</si>
  <si>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</si>
  <si>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</si>
  <si>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</si>
  <si>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</si>
  <si>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non-Tax Credit Units </t>
    </r>
    <r>
      <rPr>
        <sz val="9"/>
        <rFont val="Arial"/>
        <family val="2"/>
      </rPr>
      <t>(excluding managers' units) (i.e. market rate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</si>
  <si>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</si>
  <si>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</si>
  <si>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</si>
  <si>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</si>
  <si>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</si>
  <si>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</si>
  <si>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</si>
  <si>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For applications with multiple or non-contiguous parcels, scattered sites, lot line adjustments, phased projects, or other complex land transactions, include a summary explanation of the site control and value(s).</t>
  </si>
  <si>
    <t xml:space="preserve">Provided </t>
  </si>
  <si>
    <t>ATTACHMENT 28: Applicant Farmworker Eligibility Certification</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</si>
  <si>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</si>
  <si>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</si>
  <si>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</si>
  <si>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</si>
  <si>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</si>
  <si>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</si>
  <si>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</si>
  <si>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</si>
  <si>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</si>
  <si>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</si>
  <si>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</si>
  <si>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</si>
  <si>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</si>
  <si>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</si>
  <si>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</si>
  <si>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</si>
  <si>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</si>
  <si>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</si>
  <si>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</si>
  <si>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</si>
  <si>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</si>
  <si>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</si>
  <si>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</si>
  <si>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</si>
  <si>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</si>
  <si>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</si>
  <si>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</si>
  <si>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</si>
  <si>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</si>
  <si>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</si>
  <si>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</si>
  <si>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A current title report (within 90 days of application) including a legal description.</t>
  </si>
  <si>
    <t>For tribal trust land, a title status report (TSR) or an attorney's opinion regarding chain of title and current title status.</t>
  </si>
  <si>
    <t>If the site or improvement acquisition involves a related party, the applicant shall disclose the relationship in the TCAC application.</t>
  </si>
  <si>
    <t>All applications must include evidence of the cost or value of land and improvements. 
Provide sales agreement, purchase contract, or escrow closing statement as applicable and required by TCAC Regulations. See Reg. §§10327(c)(6) and 10325(f)(2). 
Provide an appraisal if required by TCAC Regulation. See Reg. §§ 10325(c)(1)(C), 10325(c)(10), 10327(c)(6), and 10322(h)(9).</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</si>
  <si>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</si>
  <si>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</si>
  <si>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</si>
  <si>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</si>
  <si>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</si>
  <si>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</si>
  <si>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</si>
  <si>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</si>
  <si>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</si>
  <si>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</si>
  <si>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</si>
  <si>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</si>
  <si>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</si>
  <si>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</si>
  <si>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</si>
  <si>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</si>
  <si>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</si>
  <si>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</si>
  <si>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Please do not rely solely on this checklist when completing your application.  </t>
  </si>
  <si>
    <t>Please verify that all requirements in the regulations have been met.</t>
  </si>
  <si>
    <t xml:space="preserve">TAB 12 Site and Project Information </t>
  </si>
  <si>
    <t xml:space="preserve">TAB 19 Eligible Basis Certification </t>
  </si>
  <si>
    <t>At least 20% 1-bedroom units and 10% larger than 1-bedroom units</t>
  </si>
  <si>
    <t>At least 90% SRO units</t>
  </si>
  <si>
    <t>ATTACHMENT 4(A): Applicant Large Family Eligibility Certification</t>
  </si>
  <si>
    <t xml:space="preserve">     </t>
  </si>
  <si>
    <t xml:space="preserve">   </t>
  </si>
  <si>
    <t>ATTACHMENT 4(B): Applicant Senior Eligibility Certification</t>
  </si>
  <si>
    <t>ATTACHMENT 4(C): Applicant Special Needs Eligibility Certification</t>
  </si>
  <si>
    <t>If less than 75% special needs units, specify the standards the non-special needs units will meet:</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</si>
  <si>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</si>
  <si>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ATTACHMENT 4(D): Applicant At-Risk Eligibility Certification</t>
  </si>
  <si>
    <t>If Special Needs housing type, list the percentage of Special Needs Units:</t>
  </si>
  <si>
    <t>East Bay Region: Alameda and Contra Costa Counties</t>
  </si>
  <si>
    <t>Northern Region: Butte, Marin, Napa, Shasta, Solano, and Sonoma Counties</t>
  </si>
  <si>
    <t>Central Valley Region: Fresno, Kern, Kings, Madera, Merced, San Joaquin, Stanislaus, and Tulare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</si>
  <si>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</si>
  <si>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</si>
  <si>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</si>
  <si>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</si>
  <si>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</si>
  <si>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</si>
  <si>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</si>
  <si>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</si>
  <si>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 xml:space="preserve">● A Market Study in compliance with TCAC market study guidelines, OR
● If an acquisition/rehabilitation project meeting all of the criteria in Reg. § 10322(h)(10), may provide a streamlined written statement 
</t>
  </si>
  <si>
    <t>The market study has been reviewed by the applicant and meets TCAC market study guidelines.</t>
  </si>
  <si>
    <t xml:space="preserve">Projects with land donated by or leased from a public entity must submit an appraisal. Land value for a transaction involving an applicant related party must  also be supported by an appraisal.  Please review the most current TCAC guidance on scoring requirements for land and improvements prior to application submission. </t>
  </si>
  <si>
    <t>Applicants must provide evidence that the property is within control of the application.
May be evidenced by one of the options listed in Reg. § 10325(f)(2).</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</si>
  <si>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</si>
  <si>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</si>
  <si>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</si>
  <si>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</si>
  <si>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</si>
  <si>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</si>
  <si>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</si>
  <si>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</si>
  <si>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</si>
  <si>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</si>
  <si>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</si>
  <si>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 xml:space="preserve">  ATTACHMENT 21: General Partner (G.P.) Experience</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</si>
  <si>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</si>
  <si>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</si>
  <si>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ATTACHMENT 22: Management Company Experience</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</si>
  <si>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</si>
  <si>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</si>
  <si>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</si>
  <si>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</si>
  <si>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</si>
  <si>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</si>
  <si>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</si>
  <si>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</si>
  <si>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</si>
  <si>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</si>
  <si>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</si>
  <si>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</si>
  <si>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</si>
  <si>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E(1)</t>
  </si>
  <si>
    <t>E(2)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</si>
  <si>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</si>
  <si>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Alternatively, a management company may receive 2 points if it provides evidence that the management agent assigned to the project, either on-site or with management responsibilities for the site, has been certified, prior to application deadline, by a housing tax credit certification examination by a nationally recognized housing tax credit compliance entity and be on a list maintained by the Committee. These points may substitute for other management company experience but will not be awarded in addition to such points.</t>
  </si>
  <si>
    <t xml:space="preserve">General partners and management companies with fewer than 2 active California LIHTC projects for more than 3 years, and general partners and management companies for projects requesting points under the special needs categories with no active California LIHTC projects for more than 3 years, should refer to Regulation Section 10325(c)(1) and Checklist Items Tabs 21 and 22 for additional requirements.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</si>
  <si>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</si>
  <si>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</si>
  <si>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</si>
  <si>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</si>
  <si>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</si>
  <si>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</si>
  <si>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</si>
  <si>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</si>
  <si>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</si>
  <si>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</si>
  <si>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</si>
  <si>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</si>
  <si>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</si>
  <si>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</si>
  <si>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</si>
  <si>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</si>
  <si>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</si>
  <si>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</si>
  <si>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</si>
  <si>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</si>
  <si>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</si>
  <si>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</si>
  <si>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</si>
  <si>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b) Special Needs projects:</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</si>
  <si>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</si>
  <si>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</si>
  <si>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</si>
  <si>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</si>
  <si>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</si>
  <si>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</si>
  <si>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</si>
  <si>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</si>
  <si>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</si>
  <si>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</si>
  <si>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</si>
  <si>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</si>
  <si>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</si>
  <si>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</si>
  <si>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</si>
  <si>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</si>
  <si>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</si>
  <si>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</si>
  <si>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</si>
  <si>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</si>
  <si>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</si>
  <si>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ATTACHMENT 27: Enhanced Accessibility and Visitability Architect Certification</t>
  </si>
  <si>
    <t xml:space="preserve">Documentation of the census tract in which at least 50% of the households have an income of less that 60% AMI. This information is available from HUD:  </t>
  </si>
  <si>
    <t xml:space="preserve">The data at the link above provides a ratio of the 60% income limit to the tract median income in the third to last column ‘avg_inc_factor’. Since 50% of households earn the median or less, if the ratio is greater than one, this provides documentation for at least 50% of households earning less than or equal to 60% of area median income.  </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</si>
  <si>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</si>
  <si>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</si>
  <si>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</si>
  <si>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</si>
  <si>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If a waiver has been granted under 10325(f)(7), provide TCAC waiver approval and the supporting documentation included in the original waiver request. Approval must be in advance of application deadline.</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</si>
  <si>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</si>
  <si>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 xml:space="preserve">Hold harmless rents cannot exceed the federal set-aside current tax credit rent limits. </t>
  </si>
  <si>
    <t xml:space="preserve">Must use current rent limits for units included in the lowest income point category. </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</si>
  <si>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paragraph (2)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</si>
  <si>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paragraph (1) only if the renewable generation used to calculate each basis increase does not overlap. Threshold Basis Limit increase of 2%.</t>
  </si>
  <si>
    <t>Rehabilitated project buildings shall have an 80% decrease in estimated annual energy use (or improvement in energy efficiency) in the HERS II post rehabilitation. Threshold Basis Limit increase 4%.</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</si>
  <si>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</si>
  <si>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</si>
  <si>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</si>
  <si>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</si>
  <si>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</si>
  <si>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If the assessing entity does not complete "Local Development Impact Fees" TCAC form, see above, then the applicant MUST provide a completed copy of this form to go with 'the "other evidence from the assessing entity".</t>
  </si>
  <si>
    <t>ATTACHMENT 18(B): Architect Threshold Basis Limit Certification</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</si>
  <si>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</si>
  <si>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ATTACHMENT 18(A): Local Development Impact Fees 
</t>
    </r>
    <r>
      <rPr>
        <sz val="10"/>
        <rFont val="Arial"/>
        <family val="2"/>
      </rPr>
      <t>OR other evidence from the assessing entity, such as current fee schedules.</t>
    </r>
  </si>
  <si>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</si>
  <si>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</si>
  <si>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</si>
  <si>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</si>
  <si>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</si>
  <si>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</si>
  <si>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</si>
  <si>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</si>
  <si>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</si>
  <si>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</si>
  <si>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</si>
  <si>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plans for employing desk or security staff in lieu of on-site manager units in compliance with TCAC Reg. § 10325(f)(7)(J).</t>
  </si>
  <si>
    <t>A description of any unique features of the site, noting those that may increase project costs or require environmental mitigation.</t>
  </si>
  <si>
    <t>Construction and design description</t>
  </si>
  <si>
    <t>ATTACHMENT 12: 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</si>
  <si>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</si>
  <si>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</si>
  <si>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Certification from the architect that the development will comply with building codes, the physical building requirements of all applicable fair housing laws, and the TCAC minimum construction standards. A rehabilitation project without an architect may utilize the CNA entity.</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</si>
  <si>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</si>
  <si>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</si>
  <si>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</si>
  <si>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</si>
  <si>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</si>
  <si>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</si>
  <si>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</si>
  <si>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</si>
  <si>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For projects with commercial income
Include a 15 year pro forma of all commercial revenue and expense projections using TCAC underwriting standards in Reg. §§ 10322(h)(23), 10325(f)(5), and 10327(g)(7).</t>
  </si>
  <si>
    <t>Evidence of Homeless Assistance Apportionment. Reg. § 10315(b)</t>
  </si>
  <si>
    <t>Verification of Rural set-aside application. Reg. § 10322(h)(31) 
All applicants within the Rural set-aside, including those applying under the RHS and Native American apportionments, must provide evidence that the proposed project site is located in an eligible rural area.</t>
  </si>
  <si>
    <t>Evidence of RHS/HOME set-aside Apportionment. Reg. § 10322(h)(32)</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</si>
  <si>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</si>
  <si>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</si>
  <si>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r>
      <t xml:space="preserve">Evidence of local approvals and zoning 
Provide evidence of eligibility per regulation guidelines and include signed:
      </t>
    </r>
    <r>
      <rPr>
        <b/>
        <sz val="10"/>
        <rFont val="Arial"/>
        <family val="2"/>
      </rPr>
      <t>ATTACHMENT 14: Verification of Zoning</t>
    </r>
  </si>
  <si>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</si>
  <si>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</si>
  <si>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</si>
  <si>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</si>
  <si>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r>
      <t xml:space="preserve">Terms of syndication agreement. Use TCAC template. 
Provide evidence of eligibility and include signed:
</t>
    </r>
    <r>
      <rPr>
        <b/>
        <sz val="10"/>
        <rFont val="Arial"/>
        <family val="2"/>
      </rPr>
      <t xml:space="preserve">      ATTACHMENT 16: Terms of Syndication Agreement
</t>
    </r>
    <r>
      <rPr>
        <sz val="10"/>
        <rFont val="Arial"/>
        <family val="2"/>
      </rPr>
      <t>If requesting federal and state farmworker tax credits, include separate tax credit factors/credit pricing for federal and state credits in the agreement. 
Reg. § 10322(h)(19)</t>
    </r>
  </si>
  <si>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</si>
  <si>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</si>
  <si>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</si>
  <si>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</si>
  <si>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</si>
  <si>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</si>
  <si>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</si>
  <si>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</si>
  <si>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</si>
  <si>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</si>
  <si>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</si>
  <si>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</si>
  <si>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</si>
  <si>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</si>
  <si>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</si>
  <si>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</si>
  <si>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</si>
  <si>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</si>
  <si>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t>A copy of the recorded TCAC regulatory agreement.</t>
  </si>
  <si>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</si>
  <si>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All resyndication projects must complete the ownership transfer questionnaire at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</si>
  <si>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</si>
  <si>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r>
      <t xml:space="preserve">Is the resyndication project currently subject to a Capital Needs Agreement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Agreement.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TCAC replacement reserve requirements from the aggregate annual replacement reserve contributions required by the Capital Needs Agreement. This difference is then divided by the cap rate used in the appraisal associated with the resyndication (the “Reserve Requirement Value Differential”):
      (aggregate annual replacement reserve contributions required by the CNA
      </t>
    </r>
    <r>
      <rPr>
        <u/>
        <sz val="10"/>
        <rFont val="Arial"/>
        <family val="2"/>
      </rPr>
      <t>- aggregate annual replacement reserve contributions required by TCAC)</t>
    </r>
    <r>
      <rPr>
        <sz val="10"/>
        <rFont val="Arial"/>
        <family val="2"/>
      </rPr>
      <t xml:space="preserve">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r>
  </si>
  <si>
    <r>
      <t xml:space="preserve">If the project has uncompleted Short Term Work required by an existing Capital Needs Agreement, </t>
    </r>
    <r>
      <rPr>
        <u/>
        <sz val="10"/>
        <rFont val="Arial"/>
        <family val="2"/>
      </rPr>
      <t>OR</t>
    </r>
    <r>
      <rPr>
        <sz val="10"/>
        <rFont val="Arial"/>
        <family val="2"/>
      </rPr>
      <t xml:space="preserve"> the Transfer Event associated with the resyndication does not qualify for any exemption or waiver, the following apply:</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</si>
  <si>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</si>
  <si>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</si>
  <si>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</si>
  <si>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</si>
  <si>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</si>
  <si>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</si>
  <si>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r>
      <t xml:space="preserve">For projects that require a subsidy layering review (SLR): 
● may provide the required SLR documentation as part of this application, </t>
    </r>
    <r>
      <rPr>
        <u/>
        <sz val="10"/>
        <rFont val="Arial"/>
        <family val="2"/>
      </rPr>
      <t>OR</t>
    </r>
    <r>
      <rPr>
        <sz val="10"/>
        <rFont val="Arial"/>
        <family val="2"/>
      </rPr>
      <t xml:space="preserve"> 
● may provide the SLR documentation subsequent to the reservation of tax credits.
Refer to the TCAC memos providing instructions and a list of required documents:  </t>
    </r>
  </si>
  <si>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</si>
  <si>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</si>
  <si>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</si>
  <si>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</si>
  <si>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</si>
  <si>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</si>
  <si>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</si>
  <si>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</si>
  <si>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 xml:space="preserve">For additional guidance, please contact your regional TCAC analyst.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</si>
  <si>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</si>
  <si>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</si>
  <si>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</si>
  <si>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</si>
  <si>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</si>
  <si>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 xml:space="preserve">Provide evidence of land donated or leased by a public entity, or donated as part of an inclusionary ordinance, or other development agreement negotiated between public entities and private developers. See also Tab 1 for appraisal requirements.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</si>
  <si>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</si>
  <si>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</si>
  <si>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</si>
  <si>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</si>
  <si>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</si>
  <si>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</si>
  <si>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</si>
  <si>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</si>
  <si>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r>
      <rPr>
        <b/>
        <sz val="11"/>
        <rFont val="Arial"/>
        <family val="2"/>
      </rPr>
      <t xml:space="preserve">Mixed-Use Ratio = </t>
    </r>
    <r>
      <rPr>
        <sz val="11"/>
        <rFont val="Arial"/>
        <family val="2"/>
      </rPr>
      <t>Total Commercial Cost / Total Project Cost:</t>
    </r>
  </si>
  <si>
    <t>For mixed-use projects, the permanent Leveraged Soft Financing numerator must be discounted/reduced by the Mixed-Use Ratio below.</t>
  </si>
  <si>
    <t xml:space="preserve">Sample formula (commercial costs) for numerator Committed Permanent Leveraged Soft Financing defraying residential costs  = G44*(1-J49) </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</si>
  <si>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</si>
  <si>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</si>
  <si>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</si>
  <si>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</si>
  <si>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</si>
  <si>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</si>
  <si>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</si>
  <si>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</si>
  <si>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</si>
  <si>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</si>
  <si>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</si>
  <si>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</si>
  <si>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</si>
  <si>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</si>
  <si>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</si>
  <si>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</si>
  <si>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</si>
  <si>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</si>
  <si>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</si>
  <si>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</si>
  <si>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</si>
  <si>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</si>
  <si>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</si>
  <si>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</si>
  <si>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This section is included in the application for self-scoring. Note that TCAC will use the tie-breaker self-scores to determine which projects will undergo further review in the competition, including verifying the self-scores for possible reservation of tax credits. TCAC will not evaluate or verify every project’s self-scoring. Projects with too low of a self-score to successfully compete for a reservation of tax credits will not undergo any further review by TCAC.</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</si>
  <si>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</si>
  <si>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</si>
  <si>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</si>
  <si>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</si>
  <si>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</si>
  <si>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To receive points under this subsection for projects in existence for more than 3 years from the filing deadline date, the applicant must submit a certification from a 3rd 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</si>
  <si>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</si>
  <si>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</si>
  <si>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</si>
  <si>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</si>
  <si>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</si>
  <si>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</si>
  <si>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</si>
  <si>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Documentation that includes a budget and operating schedule of van or dial-a-ride service for rural set-aside projects.</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</si>
  <si>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</si>
  <si>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</si>
  <si>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</si>
  <si>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</si>
  <si>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</si>
  <si>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</si>
  <si>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</si>
  <si>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</si>
  <si>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</si>
  <si>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</si>
  <si>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</si>
  <si>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</si>
  <si>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</si>
  <si>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</si>
  <si>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A scaled for distance map evidencing the qualifying development site is within 1/4 mile of a public elementary school; 1/2 mile of a public middle school; or 1 mile of a public high school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</si>
  <si>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(an additional 1/2 mile for each public school type for Rural set-aside projects) and the site is within the attendance area of that school.</t>
  </si>
  <si>
    <t>If a public school is under construction at application, please include evidence of this, as well as evidence from a third party, such as the school district, that the school will be completed and available to the residents prior to the project's completion.</t>
  </si>
  <si>
    <t>If the project is not applying as a large family housing type, at least 25% of the residential units must be three-bedroom or larger. TCAC staff will verify this through documentation in the Application spreadsheet and Tab 12.</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</si>
  <si>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</si>
  <si>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</si>
  <si>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</si>
  <si>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</si>
  <si>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</si>
  <si>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</si>
  <si>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</si>
  <si>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</si>
  <si>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</si>
  <si>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</si>
  <si>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</si>
  <si>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</si>
  <si>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</si>
  <si>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</si>
  <si>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</si>
  <si>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</si>
  <si>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</si>
  <si>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</si>
  <si>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</si>
  <si>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</si>
  <si>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</si>
  <si>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t>See Regulation Section 10322(h)(21) for type of projects that are allowed to use CUAC.</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</si>
  <si>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</si>
  <si>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Special Needs projects</t>
  </si>
  <si>
    <t>Total Annual Transit Pass / Internet Expense (site amenity election):</t>
  </si>
  <si>
    <r>
      <t xml:space="preserve">If claiming threshold basis limit increase based on "high opportunity area": 
Provide evidence that the project is located within a county that has an unadjusted 9% threshold basis limit for a 2-bedroom unit equal to or less than $400,000; </t>
    </r>
    <r>
      <rPr>
        <u/>
        <sz val="10"/>
        <rFont val="Arial"/>
        <family val="2"/>
      </rPr>
      <t>AND</t>
    </r>
    <r>
      <rPr>
        <sz val="10"/>
        <rFont val="Arial"/>
        <family val="2"/>
      </rPr>
      <t xml:space="preserve">
Provide a copy of the TCAC/HCD Opportunity Area Map showing that the project area as Highest or High Resource. An applicant may choose to utilize the census tract resource designation from the TCAC/HCD Opportunity Maps in effect when the initial site control was obtained up to seven calendar years prior to the application.</t>
    </r>
  </si>
  <si>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</si>
  <si>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</si>
  <si>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</si>
  <si>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</si>
  <si>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</si>
  <si>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</si>
  <si>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</si>
  <si>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</si>
  <si>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r>
      <t>ONE COPY OF THE ORIGINAL APPLICATION, ATTACHMENTS AND "</t>
    </r>
    <r>
      <rPr>
        <b/>
        <u/>
        <sz val="10"/>
        <color indexed="10"/>
        <rFont val="Arial"/>
        <family val="2"/>
      </rPr>
      <t>TCAC LRA EVALUATION FORM</t>
    </r>
    <r>
      <rPr>
        <b/>
        <sz val="10"/>
        <color indexed="10"/>
        <rFont val="Arial"/>
        <family val="2"/>
      </rPr>
      <t>" WITH INSTRUCTIONS  (HARD COPY OR ELECTRONIC) TO THE LOCAL REVIEWING AGENCY.</t>
    </r>
  </si>
  <si>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</si>
  <si>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</si>
  <si>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</si>
  <si>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</si>
  <si>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</si>
  <si>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</si>
  <si>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</si>
  <si>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</si>
  <si>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Provide evidence of committed permanent leveraged soft financing in Tab 20 and evidence of public rent or public operating subsidies in Tab 17.</t>
  </si>
  <si>
    <t xml:space="preserve">Evidence of land value is required (see Tab 1). The value of the land must be included in "Total Residential Project Development Costs" below as evidenced in Tab 1.  
Donated land value must be included in Total Project Cost and the Sources and Uses Budget.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</si>
  <si>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</si>
  <si>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</si>
  <si>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</si>
  <si>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</si>
  <si>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</si>
  <si>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</si>
  <si>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</si>
  <si>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</si>
  <si>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</si>
  <si>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</si>
  <si>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</si>
  <si>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</si>
  <si>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</si>
  <si>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</si>
  <si>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Fill in all highlighted lines.  These should be consistent with Attachment 14: Verification of Zoning and Attachment 26: Approvals Necessary to Begin Construction.</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</si>
  <si>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</si>
  <si>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</si>
  <si>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</si>
  <si>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</si>
  <si>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</si>
  <si>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</si>
  <si>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</si>
  <si>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</si>
  <si>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</si>
  <si>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The “Percent of Area Median Income” category may be used only once. For instance, 50% of Low-Income Units at 50% of Area Median Income (AMI) cannot be used twice for 100% at 50% and receive 50 points, nor can 50% of Low-Income Units at 50% of Area Median Income for 25 points and 40% of Low-Income Units at 50% of Area Median Income be used for an additional 20 points. However, the “Percent of Low-Income Units” may be used multiple times. For example, 50% of Low-Income Units at 50% of Area Median Income for 25 points may be combined with another 50% of Low-Income Units at 45% of Area Median Income to achieve the maximum points. All projects must score at least 45 points in this category to be eligible for 9% Tax Credit.</t>
  </si>
  <si>
    <r>
      <t xml:space="preserve">15 YEAR PROJECT CASH FLOW PROJECTIONS - </t>
    </r>
    <r>
      <rPr>
        <sz val="12"/>
        <rFont val="Arial"/>
        <family val="2"/>
      </rPr>
      <t>Refer to TCAC Regulation Sections 10322(h)(22), 10325(f)(5), 10326(g)(4), 10327(f) and (g).</t>
    </r>
  </si>
  <si>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</si>
  <si>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</si>
  <si>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</si>
  <si>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</si>
  <si>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</si>
  <si>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</si>
  <si>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</si>
  <si>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</si>
  <si>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t>2nd Housing type/ Non SpNs Units:</t>
  </si>
  <si>
    <r>
      <t xml:space="preserve">Number of residential </t>
    </r>
    <r>
      <rPr>
        <u/>
        <sz val="11"/>
        <rFont val="Arial"/>
        <family val="2"/>
      </rPr>
      <t>units</t>
    </r>
    <r>
      <rPr>
        <sz val="11"/>
        <rFont val="Arial"/>
        <family val="2"/>
      </rPr>
      <t xml:space="preserve"> in project:</t>
    </r>
  </si>
  <si>
    <r>
      <t xml:space="preserve">Number of residential </t>
    </r>
    <r>
      <rPr>
        <u/>
        <sz val="11"/>
        <rFont val="Arial"/>
        <family val="2"/>
      </rPr>
      <t>bedrooms</t>
    </r>
    <r>
      <rPr>
        <sz val="11"/>
        <rFont val="Arial"/>
        <family val="2"/>
      </rPr>
      <t>:</t>
    </r>
  </si>
  <si>
    <r>
      <t xml:space="preserve">Enter Number of </t>
    </r>
    <r>
      <rPr>
        <u/>
        <sz val="11"/>
        <rFont val="Arial"/>
        <family val="2"/>
      </rPr>
      <t>SpNs bedrooms:</t>
    </r>
  </si>
  <si>
    <r>
      <t xml:space="preserve">Number of </t>
    </r>
    <r>
      <rPr>
        <b/>
        <u/>
        <sz val="11"/>
        <rFont val="Arial"/>
        <family val="2"/>
      </rPr>
      <t>Non</t>
    </r>
    <r>
      <rPr>
        <u/>
        <sz val="11"/>
        <rFont val="Arial"/>
        <family val="2"/>
      </rPr>
      <t xml:space="preserve"> SpNs bedrooms</t>
    </r>
    <r>
      <rPr>
        <sz val="11"/>
        <rFont val="Arial"/>
        <family val="2"/>
      </rPr>
      <t>:</t>
    </r>
  </si>
  <si>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</si>
  <si>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</si>
  <si>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Use of CUAC is limited to:
(i) new construction projects,
(ii) rehabilitation projects applying for tax credits for which the rehabilitation improves energy efficiency by at least 20%, as determined consistent with the requirements of Reg. §§ 10325(c)(5)(D) and (G), or installs solar generation that offsets 50% of tenant loads, as determined consistent with the requirements of Reg. § 10325(c)(5)(G), and 
(iii) existing tax credit projects with new photovoltaics installed through the Multifamily Affordable Solar Housing (MASH) program or a solar program administered by a municipal utility or joint powers authority, which offsets tenants’ electrical load.
CUAC documentation must be signed by a qualified CABEC CEA. 
Must also include CUAC supporting documentation:
(i) Weighted Averaging worksheet; or
(ii) Adiabatic Surfaces worksheet.
Note: except for existing tax credit projects with active MASH program reservations dated prior to March 1, 2018, any decrease in tenant’s utility allowance that results from conversion to the CUAC shall not exceed $15 per month over any 12-month period.
Reg. § 10322(h)(21)
</t>
  </si>
  <si>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</si>
  <si>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</si>
  <si>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</si>
  <si>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</si>
  <si>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</si>
  <si>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t xml:space="preserve">Total interior amenity space square footage (TCAC Regulation Section 10325(g)(1)): </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</si>
  <si>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</si>
  <si>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</si>
  <si>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</si>
  <si>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</si>
  <si>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Health or behavioral health services**</t>
  </si>
  <si>
    <r>
      <t>1</t>
    </r>
    <r>
      <rPr>
        <sz val="11"/>
        <rFont val="Arial"/>
        <family val="2"/>
      </rPr>
      <t xml:space="preserve"> *Items 5, 6, 11, 12 may be shown as # of Hours per Week. **Applicants proposing to provide item #10 do not need to provide this information. 1 FTE = 2,080 hours per year.</t>
    </r>
  </si>
  <si>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</si>
  <si>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</si>
  <si>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</si>
  <si>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</si>
  <si>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</si>
  <si>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</si>
  <si>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</si>
  <si>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</si>
  <si>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</si>
  <si>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</si>
  <si>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</si>
  <si>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</si>
  <si>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</si>
  <si>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</si>
  <si>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An applicant proposing a project to include senior housing in combination with non-senior housing shall provide a third party legal opinion stating that the project complies with fair housing law. Reg. § 10322(h)(34).</t>
  </si>
  <si>
    <t>If the applicant requests basis for a community service facility, must submit a third party tax attorney’s opinion stating that the community service facility meets the requirements of IRC § 42(d)(4)(C). Reg. § 10322(h)(33)</t>
  </si>
  <si>
    <t xml:space="preserve">Certification from applicant stating that: 
● the project is a new construction large family project,
● the project is not an inclusionary project* as defined in § 10325(c)(9)(C),
● the year in which the TCAC/HCD Opportunity Area Map** is used, and
● the resources level of the area (Highest Resource or High Resource).
*An application for a large family new construction project located in a High or Highest Resource area must disclose whether or not the project includes any Low-Income Units which satisfy the obligations of an inclusionary housing ordinance or development agreement and, if so, the number of such units and whether the inclusionary obligations derive solely from the Low-Income Units themselves.
**An applicant may choose to utilize the census tract resource designation from the TCAC/HCD Opportunity Maps in effect when the initial site control was obtained up to 7 calendar years prior to the application. </t>
  </si>
  <si>
    <t>Provide evidence of eligibility per regulation guidelines and include all application items required in ATTACHMENT 24: Service Amenities along with completed ATTACHMENT 24: Service Amenities.
Applications will receive points for services only if the proposed services budget adequately accounts for the level of service. The budgeted amount must reasonably be expected to cover the costs of the proposed level of service.</t>
  </si>
  <si>
    <t>Scattered site projects. A scattered site more than 1 mile (1.5 miles for Rural set-aside) from the nearest other site with services must provide services independently.</t>
  </si>
  <si>
    <t>Install bamboo, stained concrete, cork, salvaged or FSC-Certified wood, natural linoleum, natural rubber, or ceramic tile in all interior floor space other than units (where no VOC adhesives or backing is also used). 
Threshold Basis Limit increase 2%.</t>
  </si>
  <si>
    <t>Central Coast Region: Monterey, San Benito, San Luis Obispo, Santa Barbara, Santa Cruz, and Ventura Counties</t>
  </si>
  <si>
    <r>
      <t xml:space="preserve">Geographic Area </t>
    </r>
    <r>
      <rPr>
        <sz val="8"/>
        <rFont val="Arial"/>
        <family val="2"/>
      </rPr>
      <t>(Reg. Section 10315(i))</t>
    </r>
  </si>
  <si>
    <t>Applicant Resources - If the applicant intends to finance part or all of the project from its own resources (other than deferred fees), provide audited certification of available resources. Reg. § 10327(c)(8)</t>
  </si>
  <si>
    <r>
      <t>Percent</t>
    </r>
    <r>
      <rPr>
        <b/>
        <sz val="8"/>
        <rFont val="Arial"/>
        <family val="2"/>
      </rPr>
      <t xml:space="preserve"> of 
Area Median Income (AMI)
(20% -  55%)*</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</si>
  <si>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</si>
  <si>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</si>
  <si>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</si>
  <si>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</si>
  <si>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</si>
  <si>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</si>
  <si>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</si>
  <si>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</si>
  <si>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</si>
  <si>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</si>
  <si>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</si>
  <si>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</si>
  <si>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</si>
  <si>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</si>
  <si>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</si>
  <si>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</si>
  <si>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</si>
  <si>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Special Needs, Number of Bedrooms =</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</si>
  <si>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</si>
  <si>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</si>
  <si>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</si>
  <si>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</si>
  <si>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</si>
  <si>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</si>
  <si>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</si>
  <si>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</si>
  <si>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</si>
  <si>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</si>
  <si>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</si>
  <si>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</si>
  <si>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</si>
  <si>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</si>
  <si>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</si>
  <si>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</si>
  <si>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</si>
  <si>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</si>
  <si>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</si>
  <si>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</si>
  <si>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</si>
  <si>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</si>
  <si>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</si>
  <si>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</si>
  <si>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</si>
  <si>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The Prorated Commercial Cost Deduction To Leveraged Soft Financing Must Be Calculated First Before Applying Any Subsidy Adjustment/Increase To The Numerator. TCAC staff may adjust this ratio as deemed appropriate.</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</si>
  <si>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</si>
  <si>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</si>
  <si>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</si>
  <si>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</si>
  <si>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</si>
  <si>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</si>
  <si>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</si>
  <si>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</si>
  <si>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</si>
  <si>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http://www.treasurer.ca.gov/ctcac/2019/lra/index.asp</t>
  </si>
  <si>
    <t xml:space="preserve">http://www.treasurer.ca.gov/ctcac/2019/methodology.pdf </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</si>
  <si>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</si>
  <si>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</si>
  <si>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r>
      <t xml:space="preserve">Certification that owners, property managers, and service providers will be incompliance with the core components of Housing First, as defined in Welfare and Institutions Code Section 8255(b), with respect to the units designated for homeless households.; </t>
    </r>
    <r>
      <rPr>
        <u/>
        <sz val="10"/>
        <rFont val="Arial"/>
        <family val="2"/>
      </rPr>
      <t>AND</t>
    </r>
  </si>
  <si>
    <t>Acquisition and Rehabilitation/Rehabilitation-only Projects (including Resyndication projects)</t>
  </si>
  <si>
    <r>
      <rPr>
        <b/>
        <sz val="10"/>
        <rFont val="Arial"/>
        <family val="2"/>
      </rPr>
      <t>NOTE</t>
    </r>
    <r>
      <rPr>
        <sz val="10"/>
        <rFont val="Arial"/>
        <family val="2"/>
      </rPr>
      <t>: Rehabilitation Scattered Site Projects with more than one housing type as permitted by 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r>
  </si>
  <si>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</si>
  <si>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</si>
  <si>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</si>
  <si>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</si>
  <si>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</si>
  <si>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</si>
  <si>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</si>
  <si>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</si>
  <si>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</si>
  <si>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</si>
  <si>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</si>
  <si>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</si>
  <si>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</si>
  <si>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</si>
  <si>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</si>
  <si>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</si>
  <si>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</si>
  <si>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r>
      <t>Type of Commitment Attached (e.g. letter, MOU, contract)</t>
    </r>
    <r>
      <rPr>
        <b/>
        <sz val="11"/>
        <rFont val="Calibri"/>
        <family val="2"/>
      </rPr>
      <t>³</t>
    </r>
  </si>
  <si>
    <r>
      <t>Cash Flow from Operation</t>
    </r>
    <r>
      <rPr>
        <b/>
        <sz val="11"/>
        <rFont val="Calibri"/>
        <family val="2"/>
      </rPr>
      <t>²</t>
    </r>
    <r>
      <rPr>
        <b/>
        <sz val="11"/>
        <rFont val="Arial"/>
        <family val="2"/>
      </rPr>
      <t>, Grant, In Kind, or Others</t>
    </r>
  </si>
  <si>
    <r>
      <t>2</t>
    </r>
    <r>
      <rPr>
        <sz val="11"/>
        <rFont val="Arial"/>
        <family val="2"/>
      </rPr>
      <t xml:space="preserve">  If project operating income will fund service amenities, the application’s Service Amenities Sources and Uses Budget must be consistent with the application’s fifteen year pro forma.</t>
    </r>
  </si>
  <si>
    <r>
      <rPr>
        <sz val="11"/>
        <rFont val="Calibri"/>
        <family val="2"/>
      </rPr>
      <t>³</t>
    </r>
    <r>
      <rPr>
        <sz val="11"/>
        <rFont val="Arial"/>
        <family val="2"/>
      </rPr>
      <t xml:space="preserve">  Committed documentation (letter, MOU, contract) MUST be attached in Exhibit 24 and </t>
    </r>
    <r>
      <rPr>
        <b/>
        <sz val="11"/>
        <rFont val="Arial"/>
        <family val="2"/>
      </rPr>
      <t>MUST describe service quantity and dollar amounts consistent with this budget.</t>
    </r>
  </si>
  <si>
    <t>Projects w/ building(s) located in DDA/QCT areas &amp; Non-DDA/Non-QCT areas, bifurcate accordingly.</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</si>
  <si>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TCAC may correct applicant errors in carrying out this largest-to-smallest unit protocol.</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</si>
  <si>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</si>
  <si>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</si>
  <si>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 xml:space="preserve">10 points will be available to projects that document all of the above and are able to begin construction within 180 days* of the Credit Reservation, as evidenced by submission of the requirements stated in TCAC Regulation Section 10325(c)(7) within 180 days of the Credit Reservation.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In the event that one of the above criteria have NOT been met, 5 points may be awarded for the one that has been met. In such cases, the 180-day requirements will not apply to projects that do not obtain the maximum points in this category. 
</t>
  </si>
  <si>
    <t>D(3)  New Construction and Rehabilitation projects:</t>
  </si>
  <si>
    <t>Evidence of streamlined, ministerial approval (SB35) – provide written documentation from the local planning department or entity providing final approval.</t>
  </si>
  <si>
    <t xml:space="preserve"> need not be one of the 'Special Needs projects.</t>
  </si>
  <si>
    <t>To qualify for this option, all projects must qualify as Special Needs.  The California LIHTC project</t>
  </si>
  <si>
    <r>
      <t>Amenities must be appropriate to the tenant population served.  The amenity must be in place at the time of application (refer to TCAC regulations and the Checklist for limited exceptions).</t>
    </r>
    <r>
      <rPr>
        <sz val="8"/>
        <rFont val="Arial"/>
        <family val="2"/>
      </rPr>
      <t xml:space="preserve">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t>
    </r>
    <r>
      <rPr>
        <b/>
        <sz val="8"/>
        <color rgb="FFC00000"/>
        <rFont val="Arial"/>
        <family val="2"/>
      </rPr>
      <t>An application proposing a project located on multiple scattered sites shall be scored proportionately in the site amenities based upon (i) each site’s score, and (ii) the percentage of units represented by each site</t>
    </r>
    <r>
      <rPr>
        <sz val="8"/>
        <rFont val="Arial"/>
        <family val="2"/>
      </rPr>
      <t xml:space="preserve">. </t>
    </r>
    <r>
      <rPr>
        <b/>
        <sz val="8"/>
        <rFont val="Arial"/>
        <family val="2"/>
      </rPr>
      <t>Proportional scoring</t>
    </r>
    <r>
      <rPr>
        <sz val="8"/>
        <rFont val="Arial"/>
        <family val="2"/>
      </rPr>
      <t xml:space="preserve">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r>
  </si>
  <si>
    <t>In addition to meeting one of the categories above (i through v), points are available to applicants committing to provide</t>
  </si>
  <si>
    <t xml:space="preserve">residents free transit passes or discounted passes to each rent restricted unit for at least 15 years. (For item (iv) </t>
  </si>
  <si>
    <t xml:space="preserve">Rural set-aside projects, points not available for projects with van services. Only available to projects with dial-a-ride </t>
  </si>
  <si>
    <t>service for free or discounted dial-a-ride passes):</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</si>
  <si>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</si>
  <si>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</si>
  <si>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</si>
  <si>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projects. Items 1 through 12 are mutually exclusive. One proposed service may not receive points under two different categories, except in the case of proportionately-scored services for special needs projects.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</si>
  <si>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</si>
  <si>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</si>
  <si>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</si>
  <si>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</si>
  <si>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</si>
  <si>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</si>
  <si>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t>-Rural only*</t>
  </si>
  <si>
    <t>60-80**</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</si>
  <si>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</si>
  <si>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</si>
  <si>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</si>
  <si>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</si>
  <si>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</si>
  <si>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</si>
  <si>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</si>
  <si>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</si>
  <si>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</si>
  <si>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</si>
  <si>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efficiency and sustainability features' quality when replacing systems and materials. When requesting a threshold</t>
  </si>
  <si>
    <t xml:space="preserve">basis increase for a prevailing wage requirement, if the project is subject to state prevailing wages, I certify that </t>
  </si>
  <si>
    <t>contractors and subcontractors will comply with California Labor Code Section 1725.5. In an application proposing</t>
  </si>
  <si>
    <t xml:space="preserve">rehabilitation work, I certify that all necessary work identified in the Capital Needs Assessment, including the </t>
  </si>
  <si>
    <t>completion.  I certify and guarantee that any tenant services proposed under TCAC Regulation Section 10325(c)(5)(B)</t>
  </si>
  <si>
    <t>provided to tenants for a period of at least 15 years, free of charge (except child care).</t>
  </si>
  <si>
    <t xml:space="preserve">will be available within 6 months of the project's placed in service date, will be of a regular and ongoing nature and </t>
  </si>
  <si>
    <t xml:space="preserve">the project, unless a waiver has been approved by TCAC. The project will at least maintain the installed energy </t>
  </si>
  <si>
    <t xml:space="preserve">guarantee that each item identified in TCAC’s minimum construction standards will be incorporated into the design of </t>
  </si>
  <si>
    <t>https://www.treasurer.ca.gov/ctcac/forms/transfer-event-questionnaire.pdf</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</si>
  <si>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</si>
  <si>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</si>
  <si>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</si>
  <si>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</si>
  <si>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</si>
  <si>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</si>
  <si>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</si>
  <si>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</si>
  <si>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</si>
  <si>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</si>
  <si>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</si>
  <si>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</si>
  <si>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</si>
  <si>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</si>
  <si>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r>
      <rPr>
        <b/>
        <sz val="10"/>
        <color indexed="10"/>
        <rFont val="Arial"/>
        <family val="2"/>
      </rPr>
      <t>DO NOT UNPROTECT OR UNLOCK CELLS</t>
    </r>
    <r>
      <rPr>
        <sz val="10"/>
        <rFont val="Arial"/>
        <family val="2"/>
      </rPr>
      <t xml:space="preserve"> in the spreadsheet. TCAC will verify formulas and data and will scan for viruses upon receipt. Any tampering may result in disqualification of the application.</t>
    </r>
  </si>
  <si>
    <t>I. INSTRUCTIONS - SECTION 1: INSTRUCTIONS</t>
  </si>
  <si>
    <t>TWO ELECTRONIC VERSIONS OF THE APPLICATION IN THE FORM OF A USB FLASH DRIVE TO TCAC. THE APPLICATION MUST BE SIGNED.</t>
  </si>
  <si>
    <t xml:space="preserve">Applicant Statement and Certification </t>
  </si>
  <si>
    <t>an originally signed applicant certification.</t>
  </si>
  <si>
    <t>The Electronic California Tax Credit Allocation Committee (TCAC) Application was designed to enhance consistency of information, increase efficiency in the application process, and reduce the amount of paperwork required for a TCAC tax credit application. All applicants are required to submit the application, current year TCAC attachment forms, and all supporting documentation in electronic format. Only the signed applicant statement may be submitted in hardcopy format; for all other application materials, no paper documentation will be accepted. 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TCAC can build upon and improve the process of completing a tax credit application.</t>
  </si>
  <si>
    <t xml:space="preserve">II. APPLICATION - SECTION 1: APPLICANT STATEMENT AND CERTIFICATION </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</si>
  <si>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ATTACHMENT 8: Rehabilitation Summary</t>
    </r>
  </si>
  <si>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</si>
  <si>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</si>
  <si>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</si>
  <si>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</si>
  <si>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</si>
  <si>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</si>
  <si>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</si>
  <si>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</si>
  <si>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</si>
  <si>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</si>
  <si>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</si>
  <si>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 xml:space="preserve">make an election to sell ("certificate") or not sell all or any portion of the state credit, as allowed pursuant to </t>
  </si>
  <si>
    <t xml:space="preserve">I acknowledge that if I elect to sell ("certificate") all or any portion of the state credit, I may, only once, revoke </t>
  </si>
  <si>
    <t>an election to sell at any time before CTCAC issues the Form(s) 3521A for the project.</t>
  </si>
  <si>
    <t xml:space="preserve">non-profit entity, and that the state credit price will not be less than eighty (80) cents per dollar of credit. </t>
  </si>
  <si>
    <t>C(3)</t>
  </si>
  <si>
    <t xml:space="preserve">Year DDA: </t>
  </si>
  <si>
    <t>State Farmworker Credit?</t>
  </si>
  <si>
    <t>Adaptive Reuse</t>
  </si>
  <si>
    <t>Newly constructed project buildings shall be more energy efficient than 2019 Energy Efficiency Standards (CA Code of Regulations, Title 24, Part 6), except that if the local department has determined that building permit applications submitted on or before December 31, 2019 are complete, then newly constructed project buildings shall be 15% or more energy efficiency than the 2016 Energy Efficiency Standards (CA Code of Regulations, Title 24, Part 6). Threshold Basis Limit increase of 4%.</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</si>
  <si>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</si>
  <si>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</si>
  <si>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</si>
  <si>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</si>
  <si>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</si>
  <si>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</si>
  <si>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</si>
  <si>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</si>
  <si>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</si>
  <si>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</si>
  <si>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</si>
  <si>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</si>
  <si>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</si>
  <si>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</si>
  <si>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</si>
  <si>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</si>
  <si>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</si>
  <si>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</si>
  <si>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</si>
  <si>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"Scattered Site" def. TCAC Reg. § 10302(ll)</t>
  </si>
  <si>
    <t>of TCAC Regs  §10325(g)(3)(A), use 30% AMI rent limits</t>
  </si>
  <si>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</si>
  <si>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</si>
  <si>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</si>
  <si>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</si>
  <si>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</si>
  <si>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</si>
  <si>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</si>
  <si>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Enforceable financing commitment, as defined in TCAC Regs §10325(f)(3), for all construction financing</t>
  </si>
  <si>
    <t>§12206(c)(4) of Rev. and Tax Code for 95% eligible basis:</t>
  </si>
  <si>
    <t>Reg. Section 10325(c)(7)(A)&amp;(B)</t>
  </si>
  <si>
    <t>Reg. §10325(c)(7)(A)</t>
  </si>
  <si>
    <t>Select the appropriate TCAC geographic area and provide the requested information.</t>
  </si>
  <si>
    <t xml:space="preserve">Complete as appropriate.  Amounts should be consistent and verifiable  with information in the </t>
  </si>
  <si>
    <t>application and Checklist attachments.</t>
  </si>
  <si>
    <t>This section must be completed. Note that TCAC will independently determine each project's final</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</si>
  <si>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</si>
  <si>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</si>
  <si>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</si>
  <si>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https://www.treasurer.ca.gov/ctcac/2018/lra/contact.pdf</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</si>
  <si>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</si>
  <si>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</si>
  <si>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r>
      <t xml:space="preserve">        </t>
    </r>
    <r>
      <rPr>
        <b/>
        <sz val="10"/>
        <rFont val="Arial"/>
        <family val="2"/>
      </rPr>
      <t>ATTACHMENT 21: General Partner (G.P.) Experience</t>
    </r>
  </si>
  <si>
    <t xml:space="preserve">If not requesting Management Company Experience points under Tab 22, provide evidence that the property management company meets the minimum scoring standards of Section 10325(c)(1)(B) and include a signed: </t>
  </si>
  <si>
    <r>
      <t xml:space="preserve">       </t>
    </r>
    <r>
      <rPr>
        <b/>
        <sz val="10"/>
        <rFont val="Arial"/>
        <family val="2"/>
      </rPr>
      <t>ATTACHMENT 22: Management Company Experience</t>
    </r>
  </si>
  <si>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</si>
  <si>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</si>
  <si>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</si>
  <si>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2020 100% RENTS</t>
  </si>
  <si>
    <t xml:space="preserve">SRO Projects </t>
  </si>
  <si>
    <t>Reg. §§ 10325(g)(4)(A) &amp; (B)</t>
  </si>
  <si>
    <t>ATTACHMENT 4(E): Applicant SRO Eligibility Certification</t>
  </si>
  <si>
    <t>Reg. §§ 10325(g)(5)(A) through (J)</t>
  </si>
  <si>
    <t>Family, Senior, SRO or At-Risk Projects</t>
  </si>
  <si>
    <t>Large Family, Senior, SRO, At-Risk, Number of Bedrooms =</t>
  </si>
  <si>
    <t>a) Large Family, Senior, SRO, At-Risk projects:</t>
  </si>
  <si>
    <t>4% 2021 TBLs</t>
  </si>
  <si>
    <t>9% 2021 TBLs</t>
  </si>
  <si>
    <t>Number of Staff:</t>
  </si>
  <si>
    <t>Number of Rent-Free Units:</t>
  </si>
  <si>
    <t>Specialty Locality Taxes (community facilities district, mello roos, etc.:</t>
  </si>
  <si>
    <t>Total Annual Monitoring Fees:</t>
  </si>
  <si>
    <t>Ground Lease Payment (if applicable)</t>
  </si>
  <si>
    <t>Specialty Local Taxes</t>
  </si>
  <si>
    <t>Cash Flow</t>
  </si>
  <si>
    <t>) /2)</t>
  </si>
  <si>
    <r>
      <t>Bonus for new construction large family housing type projects (and excluding all special needs housing type projects) in high/higher resource area based on TCAC/HCD Opportunity Area Map.</t>
    </r>
    <r>
      <rPr>
        <sz val="11"/>
        <rFont val="Arial"/>
        <family val="2"/>
      </rPr>
      <t xml:space="preserve">  See TCAC Regulations 10325(c)(9)(C) for projects excluded:</t>
    </r>
  </si>
  <si>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TCAC regulatory agreement shall not be considered public funds if such loans were funded less than 30 years prior to the application deadline.</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</si>
  <si>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</si>
  <si>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</si>
  <si>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</si>
  <si>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</si>
  <si>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</si>
  <si>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</si>
  <si>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</si>
  <si>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t xml:space="preserve">Commitment to begin construction within 180 days of the bond allocation as documented by the requirements described in TCAC Reg. §10325(c)(7). </t>
    </r>
    <r>
      <rPr>
        <b/>
        <sz val="10"/>
        <rFont val="Arial"/>
        <family val="2"/>
      </rPr>
      <t xml:space="preserve">
</t>
    </r>
    <r>
      <rPr>
        <sz val="10"/>
        <rFont val="Arial"/>
        <family val="2"/>
      </rPr>
      <t xml:space="preserve">
</t>
    </r>
  </si>
  <si>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</si>
  <si>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The project is a new construction large family housing type project, except for an inclusionary project as defined in Section 10325(c)(9)(C), and the site is located in a census tract designated on the TCAC/HCD Opportunity Area Map as Highest or High Resource</t>
  </si>
  <si>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</si>
  <si>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</si>
  <si>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</si>
  <si>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</si>
  <si>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*A development wherein at least 25% of the tax credit units are 3-bedroom or larger; or, for special needs housing type, at least 25% of the large family tax credit units are 3-bedroom or larger.</t>
  </si>
  <si>
    <t xml:space="preserve">Federal tax credit factor must be at least $1.00 for self-syndication projects or at least $0.80 for all other projects.  </t>
  </si>
  <si>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</si>
  <si>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</si>
  <si>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</si>
  <si>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</si>
  <si>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</si>
  <si>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</si>
  <si>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</si>
  <si>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2021 COMPETITIVE 9% APPLICATION FOR LOW-INCOME HOUSING TAX CREDITS</t>
  </si>
  <si>
    <t>, 2021 at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</si>
  <si>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</si>
  <si>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</si>
  <si>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</si>
  <si>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</si>
  <si>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</si>
  <si>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</si>
  <si>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</si>
  <si>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</si>
  <si>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</si>
  <si>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Project site is subject to/fulfills inclusionary zoning requirements?</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</si>
  <si>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</si>
  <si>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</si>
  <si>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</si>
  <si>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</si>
  <si>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</si>
  <si>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</si>
  <si>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</si>
  <si>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</si>
  <si>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</si>
  <si>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</si>
  <si>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</si>
  <si>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</si>
  <si>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</si>
  <si>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</si>
  <si>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Subject to Inclusionary Zoning?</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</si>
  <si>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</si>
  <si>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</si>
  <si>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</si>
  <si>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</si>
  <si>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</si>
  <si>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</si>
  <si>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</si>
  <si>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t>List Below All Projected Sources Required To Complete Construction</t>
  </si>
  <si>
    <r>
      <t xml:space="preserve">Amort. Term </t>
    </r>
    <r>
      <rPr>
        <sz val="8"/>
        <rFont val="Arial"/>
        <family val="2"/>
      </rPr>
      <t>(months)</t>
    </r>
  </si>
  <si>
    <t>Payment Type</t>
  </si>
  <si>
    <t>Lien Position</t>
  </si>
  <si>
    <t>Annual Debt Service (residential)</t>
  </si>
  <si>
    <t>Annual Debt Service (commercial)</t>
  </si>
  <si>
    <t>Fixed/ Variable</t>
  </si>
  <si>
    <t>Required Payment</t>
  </si>
  <si>
    <t>Average Square Feet</t>
  </si>
  <si>
    <t>(g)
% of Area Median Income</t>
  </si>
  <si>
    <t>(h)        
% of Actual AMI</t>
  </si>
  <si>
    <r>
      <t xml:space="preserve">AVERAGE AFFORDABILITY BY AMI </t>
    </r>
    <r>
      <rPr>
        <b/>
        <u/>
        <sz val="10"/>
        <rFont val="Arial"/>
        <family val="2"/>
      </rPr>
      <t>ACTUAL RENTS</t>
    </r>
  </si>
  <si>
    <t>Adjustment for projects paid in whole or part out of public funds subject to a legal requirement for the payment of state or federal prevailing wages or financed in part by a labor-affiliated organization requiring the employment of construction workers who are paid at least state or federal prevailing wages.  
List source(s) or labor-affiliated organization(s):</t>
  </si>
  <si>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</si>
  <si>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</si>
  <si>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</si>
  <si>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</si>
  <si>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</si>
  <si>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</si>
  <si>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</si>
  <si>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</si>
  <si>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</si>
  <si>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</si>
  <si>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For a project that is: (i) in a county that has an unadjusted 9% threshold basis limit for a 2-bedroom unit equal to or less than $400,000; AND (ii) located in a census tract designated on the TCAC/HCD Opportunity Area Map as Highest or High Resource.</t>
  </si>
  <si>
    <t>2021 APPLICATION CHECKLIST -  9% PROJECTS</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</si>
  <si>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</si>
  <si>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</si>
  <si>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</si>
  <si>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</si>
  <si>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</si>
  <si>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</si>
  <si>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</si>
  <si>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</si>
  <si>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2021 Attachments – Electronic Submission Guide</t>
  </si>
  <si>
    <t>Please contact Sarah.Gullikson@treasurer.ca.gov if you find any errors in the electronic application. For general application questions, please contact the regional analyst.</t>
  </si>
  <si>
    <t>Applicants submit all application materials electronically on a USB flash drive.  TCAC will not accept submissions of application documents by email or over the internet.</t>
  </si>
  <si>
    <t xml:space="preserve">Attachments may be completed and signed using electronic format utilizing electronic signatures.  </t>
  </si>
  <si>
    <t>Mail the application materials to TCAC at: 915 Capitol Mall, Room 485, Sacramento, CA 95814. 
Enclose a $2,000 application filing fee in the form of a check.  For scattered site and resyndication applications, the application fee is $2,500.  For scattered site projects in differing jurisdictions, an extra $1,000 application filing fee is required per additional local review. If the local review agency(ies) has agreed to waive their $1,000 portion of the fee, enclose written confirmation from the local review agency(ies).
Refer to the TCAC website for more complete filing instructions:</t>
  </si>
  <si>
    <t>https://www.treasurer.ca.gov/ctcac/2021/applications/competitive-tax-app-instructions.asp</t>
  </si>
  <si>
    <t>February 22, 2021 Version</t>
  </si>
  <si>
    <t>Housing Authority of the City of Fresno</t>
  </si>
  <si>
    <t>The Arthur at Blackstone</t>
  </si>
  <si>
    <t>1st</t>
  </si>
  <si>
    <t>March</t>
  </si>
  <si>
    <t>Preston Prince</t>
  </si>
  <si>
    <t>CEO/Executive Director</t>
  </si>
  <si>
    <t>City of Fresno</t>
  </si>
  <si>
    <t>Thomas Esqueda</t>
  </si>
  <si>
    <t>2600 Fresno Street</t>
  </si>
  <si>
    <t>559-621-7770</t>
  </si>
  <si>
    <t>Thomas.Esqueda@fresno.gov</t>
  </si>
  <si>
    <t>3039 N. Blackstone Avenue</t>
  </si>
  <si>
    <t>443-104-08, 443-104-09, 443-104-10, 443-104-23</t>
  </si>
  <si>
    <t>40%/60%</t>
  </si>
  <si>
    <t>1331 Fulton Street</t>
  </si>
  <si>
    <t>CA</t>
  </si>
  <si>
    <t>559-445-8985</t>
  </si>
  <si>
    <t>Administrative GP</t>
  </si>
  <si>
    <t>Silvercrest, Inc.</t>
  </si>
  <si>
    <t>Managing GP</t>
  </si>
  <si>
    <t>General Partner/Developer</t>
  </si>
  <si>
    <t>Fresno, CA 93721</t>
  </si>
  <si>
    <t>GGLO</t>
  </si>
  <si>
    <t>1301 First Avenue, Suite 301</t>
  </si>
  <si>
    <t>Seattle, WA 98101</t>
  </si>
  <si>
    <t>Jeff Foster</t>
  </si>
  <si>
    <t>206-467-5828</t>
  </si>
  <si>
    <t>jfoster@gglo.com</t>
  </si>
  <si>
    <t>Ballard Spahr LLP</t>
  </si>
  <si>
    <t>300 E. Lombardi</t>
  </si>
  <si>
    <t>Baltimore, MD 21202</t>
  </si>
  <si>
    <t>Teri M. Guarnaccia</t>
  </si>
  <si>
    <t>410-528-5523</t>
  </si>
  <si>
    <t>410-528-5650</t>
  </si>
  <si>
    <t>guarnacciat@ballardspahr.com</t>
  </si>
  <si>
    <t>TBD</t>
  </si>
  <si>
    <t>Novogradac LLP</t>
  </si>
  <si>
    <t>2033 Main Street, Suite 400</t>
  </si>
  <si>
    <t>Walnut Creek, CA 94596</t>
  </si>
  <si>
    <t>Alexis Ruane</t>
  </si>
  <si>
    <t>925-949-4300</t>
  </si>
  <si>
    <t>925-949-4301</t>
  </si>
  <si>
    <t>Alexis.Ruane@novoco.com</t>
  </si>
  <si>
    <t>Melas Engineering</t>
  </si>
  <si>
    <t>547 Uren Street</t>
  </si>
  <si>
    <t>Nevada City, CA 95959</t>
  </si>
  <si>
    <t>Chris Miller</t>
  </si>
  <si>
    <t>530-265-2492</t>
  </si>
  <si>
    <t>530-265-2273</t>
  </si>
  <si>
    <t>chris@melasenergy.com</t>
  </si>
  <si>
    <t>CREA</t>
  </si>
  <si>
    <t>1396 World Trade Dr.</t>
  </si>
  <si>
    <t>San Diego, CA 92128</t>
  </si>
  <si>
    <t>Richard Shea</t>
  </si>
  <si>
    <t>858-386-5199</t>
  </si>
  <si>
    <t>rshea@creallc.com</t>
  </si>
  <si>
    <t>369 Pine Street, Suite 300</t>
  </si>
  <si>
    <t>San Francisco, CA 94104</t>
  </si>
  <si>
    <t>415-433-6804</t>
  </si>
  <si>
    <t>California Housing Partnership</t>
  </si>
  <si>
    <t>Aditya Potluri</t>
  </si>
  <si>
    <t>apotluri@chpc.net</t>
  </si>
  <si>
    <t>Laurin &amp; Associates</t>
  </si>
  <si>
    <t>1501 Sports Dr.</t>
  </si>
  <si>
    <t>Sacramento, CA 95834</t>
  </si>
  <si>
    <t>Stefanie Williams</t>
  </si>
  <si>
    <t>916-372-6100</t>
  </si>
  <si>
    <t>916-419-6108</t>
  </si>
  <si>
    <t>swilliams@laurinassociates.com</t>
  </si>
  <si>
    <t>James G. Palmer</t>
  </si>
  <si>
    <t>1285 W. Shaw Avenue</t>
  </si>
  <si>
    <t>Fresno, CA 93711</t>
  </si>
  <si>
    <t>Gregg Palmer</t>
  </si>
  <si>
    <t>559-226-5020</t>
  </si>
  <si>
    <t>559-226-5063</t>
  </si>
  <si>
    <t>gregg@jgpinc.com</t>
  </si>
  <si>
    <t>Fresno Housing Authority</t>
  </si>
  <si>
    <t>559-443-8492</t>
  </si>
  <si>
    <t>Other (Specify below)</t>
  </si>
  <si>
    <t>Two 3-Story buildings and one 2-story building.</t>
  </si>
  <si>
    <t>There will be Community and Commercial space on the ground floor of the residential building(s).</t>
  </si>
  <si>
    <t>General Heavy Commercial</t>
  </si>
  <si>
    <t>Neighborhood Mixed Use, 56 u/a</t>
  </si>
  <si>
    <t>40'</t>
  </si>
  <si>
    <t>0.5 Stall/Unit</t>
  </si>
  <si>
    <t>NPLH</t>
  </si>
  <si>
    <t>City of Fresno HOME Loan</t>
  </si>
  <si>
    <t>Fresno HA (IIG)</t>
  </si>
  <si>
    <t>Fresno HA Capital Funds Loan</t>
  </si>
  <si>
    <t>Construction Loan - US Bank</t>
  </si>
  <si>
    <t>Fresno HA Loan</t>
  </si>
  <si>
    <t>HCD IIG (Sponsor Loan)</t>
  </si>
  <si>
    <t>Costs Deferred Until Conversion</t>
  </si>
  <si>
    <t>NPLH Capital</t>
  </si>
  <si>
    <t>621 Capitol Mall, Suite 800</t>
  </si>
  <si>
    <t>Jennifer Craig</t>
  </si>
  <si>
    <t>314-335-1422</t>
  </si>
  <si>
    <t>Construction Loan</t>
  </si>
  <si>
    <t xml:space="preserve">Fresno  </t>
  </si>
  <si>
    <t>Residual Receipts Loan</t>
  </si>
  <si>
    <t>Residual Reciepts Loan</t>
  </si>
  <si>
    <t>Deferred Costs</t>
  </si>
  <si>
    <t>Capital Contributions-Limit Partners</t>
  </si>
  <si>
    <t>Equity</t>
  </si>
  <si>
    <t>Corrina Nunez</t>
  </si>
  <si>
    <t>559-621-8506</t>
  </si>
  <si>
    <t>2020 West El Camino</t>
  </si>
  <si>
    <t>George Rodine</t>
  </si>
  <si>
    <t>916-263-6105</t>
  </si>
  <si>
    <t>Air Conditioning</t>
  </si>
  <si>
    <t>Housing Authority of  the City of Fresno</t>
  </si>
  <si>
    <t>Misc. Admin</t>
  </si>
  <si>
    <t>Taxes/Benefits</t>
  </si>
  <si>
    <t>Janitorial, Misc. O&amp;M</t>
  </si>
  <si>
    <t>Misc. Tax/License</t>
  </si>
  <si>
    <t>NPLH Capital Loan</t>
  </si>
  <si>
    <t>NPLH Capitalized Operating Subsidy Reserve</t>
  </si>
  <si>
    <t>Fresno HA Capital Fund</t>
  </si>
  <si>
    <t>Lafayette Park</t>
  </si>
  <si>
    <t>1516 E Princeton Avenue</t>
  </si>
  <si>
    <t>Fresno, 93704</t>
  </si>
  <si>
    <t>PARCS Administration</t>
  </si>
  <si>
    <t>559-621-2900</t>
  </si>
  <si>
    <t>www.fresno.gov/parks/</t>
  </si>
  <si>
    <t>&lt;0.5 Miles</t>
  </si>
  <si>
    <t>Manchester Transit Center</t>
  </si>
  <si>
    <t>3590 N Blackstone Avenue</t>
  </si>
  <si>
    <t>Fresno, 93726</t>
  </si>
  <si>
    <t>Gregory Barfield</t>
  </si>
  <si>
    <t>559-621-7433</t>
  </si>
  <si>
    <t>www.fresno.gov/transportation/fax/routes</t>
  </si>
  <si>
    <t>&lt;1/3 Miles</t>
  </si>
  <si>
    <t>Fort Miller Middle School</t>
  </si>
  <si>
    <t>1302 E Dakota Avenue</t>
  </si>
  <si>
    <t>Alex Belanger</t>
  </si>
  <si>
    <t>559-248-7100</t>
  </si>
  <si>
    <t>www.fresnounified.org</t>
  </si>
  <si>
    <t>Smart &amp; Final Extra!</t>
  </si>
  <si>
    <t>2425 N Blackstone Avenue</t>
  </si>
  <si>
    <t>Fresno, 93703</t>
  </si>
  <si>
    <t>Sarah Mitchell</t>
  </si>
  <si>
    <t>559-229-2944</t>
  </si>
  <si>
    <t>www.smartandfinal.com</t>
  </si>
  <si>
    <t xml:space="preserve">Walgreens </t>
  </si>
  <si>
    <t>2420 N Blackstone Avenue</t>
  </si>
  <si>
    <t>Store Manager</t>
  </si>
  <si>
    <t>559-244-0974</t>
  </si>
  <si>
    <t>www.walgreens.com</t>
  </si>
  <si>
    <t>60 Hours/Yr</t>
  </si>
  <si>
    <t>0.056 FTE</t>
  </si>
  <si>
    <t>84 Hours/Yr</t>
  </si>
  <si>
    <t>Cash</t>
  </si>
  <si>
    <t>In-kind</t>
  </si>
  <si>
    <t>Administrative Costs</t>
  </si>
  <si>
    <t>Assited Housing Division</t>
  </si>
  <si>
    <t>Assisted Housing Division</t>
  </si>
  <si>
    <t>County of Fresno Dept. of Behavioral Health</t>
  </si>
  <si>
    <t>MOU</t>
  </si>
  <si>
    <t>MOU/Commitment Letter</t>
  </si>
  <si>
    <t>Variable</t>
  </si>
  <si>
    <t>Fixed</t>
  </si>
  <si>
    <t>Project-based vouchers (PBVs)</t>
  </si>
  <si>
    <t>RAD conversion - PBVs</t>
  </si>
  <si>
    <t>20</t>
  </si>
  <si>
    <t>Other: Acq Title/Recording</t>
  </si>
  <si>
    <t>Other: Testing/Inspection</t>
  </si>
  <si>
    <t>Other:  Transaction Legal</t>
  </si>
  <si>
    <t>Other: HCD Transition Reserve</t>
  </si>
  <si>
    <t>Other: PV System</t>
  </si>
  <si>
    <t>Studio</t>
  </si>
  <si>
    <t>1 bedroom</t>
  </si>
  <si>
    <t>2 bedroom</t>
  </si>
  <si>
    <t>3 bedroom</t>
  </si>
  <si>
    <t>City HOME Loan</t>
  </si>
  <si>
    <t>HCD IIG</t>
  </si>
  <si>
    <t>PM Fees</t>
  </si>
  <si>
    <t>Draw on Rent Reserve</t>
  </si>
  <si>
    <t>Distribution to GP</t>
  </si>
  <si>
    <t>Michael Duarte</t>
  </si>
  <si>
    <t>mduarte@fresnohousing.org</t>
  </si>
  <si>
    <t>HCD Monitoring Fees</t>
  </si>
  <si>
    <t>0.065 FTE</t>
  </si>
  <si>
    <t>559-513-5848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</si>
</sst>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0">
    <numFmt numFmtId="5" formatCode="&quot;$&quot;#,##0_);\(&quot;$&quot;#,##0\)"/>
    <numFmt numFmtId="6" formatCode="&quot;$&quot;#,##0_);[Red]\(&quot;$&quot;#,##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s>
  <fonts count="132">
    <font>
      <sz val="10"/>
      <name val="Arial"/>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vertAlign val="superscript"/>
      <sz val="11"/>
      <name val="Arial"/>
      <family val="2"/>
    </font>
    <font>
      <b/>
      <sz val="11"/>
      <color indexed="9"/>
      <name val="Arial"/>
      <family val="2"/>
    </font>
    <font>
      <b/>
      <sz val="11"/>
      <name val="Arial"/>
      <family val="2"/>
    </font>
    <font>
      <b/>
      <vertAlign val="superscript"/>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b/>
      <sz val="11"/>
      <color indexed="9"/>
      <name val="Arial"/>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8"/>
      <color indexed="81"/>
      <name val="Tahoma"/>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11"/>
      <name val="Calibri"/>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u/>
      <sz val="10"/>
      <color theme="11"/>
      <name val="Arial"/>
      <family val="2"/>
    </font>
    <font>
      <sz val="9"/>
      <color rgb="FF000000"/>
      <name val="Tahoma"/>
      <family val="2"/>
    </font>
    <font>
      <b/>
      <sz val="9"/>
      <color rgb="FF000000"/>
      <name val="Tahoma"/>
      <family val="2"/>
    </font>
    <font>
      <sz val="11"/>
      <color rgb="FF000000"/>
      <name val="Arial"/>
      <family val="2"/>
    </font>
  </fonts>
  <fills count="54">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solid">
        <fgColor indexed="31"/>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s>
  <borders count="75">
    <border>
      <left/>
      <right/>
      <top/>
      <bottom/>
      <diagonal/>
    </border>
    <border>
      <left style="thin">
        <color auto="1"/>
      </left>
      <right/>
      <top style="thin">
        <color auto="1"/>
      </top>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double">
        <color auto="1"/>
      </bottom>
      <diagonal/>
    </border>
    <border>
      <left style="thin">
        <color auto="1"/>
      </left>
      <right/>
      <top/>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right style="thin">
        <color auto="1"/>
      </right>
      <top/>
      <bottom/>
      <diagonal/>
    </border>
    <border>
      <left/>
      <right/>
      <top style="thin">
        <color auto="1"/>
      </top>
      <bottom style="double">
        <color auto="1"/>
      </bottom>
      <diagonal/>
    </border>
    <border>
      <left style="thin">
        <color auto="1"/>
      </left>
      <right style="thin">
        <color auto="1"/>
      </right>
      <top/>
      <bottom style="thin">
        <color auto="1"/>
      </bottom>
      <diagonal/>
    </border>
    <border>
      <left/>
      <right/>
      <top style="thick">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auto="1"/>
      </top>
      <bottom/>
      <diagonal/>
    </border>
    <border>
      <left/>
      <right style="thin">
        <color auto="1"/>
      </right>
      <top/>
      <bottom style="double">
        <color auto="1"/>
      </bottom>
      <diagonal/>
    </border>
    <border>
      <left/>
      <right style="thin">
        <color auto="1"/>
      </right>
      <top style="medium">
        <color auto="1"/>
      </top>
      <bottom/>
      <diagonal/>
    </border>
    <border>
      <left/>
      <right style="thin">
        <color auto="1"/>
      </right>
      <top style="thin">
        <color auto="1"/>
      </top>
      <bottom style="medium">
        <color auto="1"/>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style="hair">
        <color auto="1"/>
      </right>
      <top/>
      <bottom/>
      <diagonal/>
    </border>
    <border>
      <left style="hair">
        <color auto="1"/>
      </left>
      <right/>
      <top/>
      <bottom style="thin">
        <color auto="1"/>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style="hair">
        <color auto="1"/>
      </left>
      <right/>
      <top style="hair">
        <color auto="1"/>
      </top>
      <bottom style="thin">
        <color auto="1"/>
      </bottom>
      <diagonal/>
    </border>
    <border>
      <left/>
      <right/>
      <top style="hair">
        <color auto="1"/>
      </top>
      <bottom style="thin">
        <color auto="1"/>
      </bottom>
      <diagonal/>
    </border>
    <border>
      <left/>
      <right style="hair">
        <color auto="1"/>
      </right>
      <top style="thin">
        <color auto="1"/>
      </top>
      <bottom/>
      <diagonal/>
    </border>
    <border>
      <left/>
      <right style="hair">
        <color auto="1"/>
      </right>
      <top/>
      <bottom style="thin">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thin">
        <color auto="1"/>
      </left>
      <right style="thin">
        <color auto="1"/>
      </right>
      <top style="thin">
        <color auto="1"/>
      </top>
      <bottom style="double">
        <color auto="1"/>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hair">
        <color auto="1"/>
      </left>
      <right/>
      <top style="thin">
        <color auto="1"/>
      </top>
      <bottom/>
      <diagonal/>
    </border>
    <border>
      <left style="hair">
        <color auto="1"/>
      </left>
      <right style="thin">
        <color auto="1"/>
      </right>
      <top/>
      <bottom/>
      <diagonal/>
    </border>
  </borders>
  <cellStyleXfs count="1029">
    <xf numFmtId="0" fontId="0" fillId="0" borderId="0"/>
    <xf numFmtId="0" fontId="88" fillId="15" borderId="0" applyNumberFormat="0" applyBorder="0" applyAlignment="0" applyProtection="0"/>
    <xf numFmtId="0" fontId="88" fillId="15" borderId="0" applyNumberFormat="0" applyBorder="0" applyAlignment="0" applyProtection="0"/>
    <xf numFmtId="0" fontId="88" fillId="15" borderId="0" applyNumberFormat="0" applyBorder="0" applyAlignment="0" applyProtection="0"/>
    <xf numFmtId="0" fontId="88" fillId="15" borderId="0" applyNumberFormat="0" applyBorder="0" applyAlignment="0" applyProtection="0"/>
    <xf numFmtId="0" fontId="88" fillId="15" borderId="0" applyNumberFormat="0" applyBorder="0" applyAlignment="0" applyProtection="0"/>
    <xf numFmtId="0" fontId="88" fillId="15" borderId="0" applyNumberFormat="0" applyBorder="0" applyAlignment="0" applyProtection="0"/>
    <xf numFmtId="0" fontId="88" fillId="15" borderId="0" applyNumberFormat="0" applyBorder="0" applyAlignment="0" applyProtection="0"/>
    <xf numFmtId="0" fontId="88" fillId="15" borderId="0" applyNumberFormat="0" applyBorder="0" applyAlignment="0" applyProtection="0"/>
    <xf numFmtId="0" fontId="88" fillId="16" borderId="0" applyNumberFormat="0" applyBorder="0" applyAlignment="0" applyProtection="0"/>
    <xf numFmtId="0" fontId="88" fillId="16" borderId="0" applyNumberFormat="0" applyBorder="0" applyAlignment="0" applyProtection="0"/>
    <xf numFmtId="0" fontId="88" fillId="16" borderId="0" applyNumberFormat="0" applyBorder="0" applyAlignment="0" applyProtection="0"/>
    <xf numFmtId="0" fontId="88" fillId="16" borderId="0" applyNumberFormat="0" applyBorder="0" applyAlignment="0" applyProtection="0"/>
    <xf numFmtId="0" fontId="88" fillId="16" borderId="0" applyNumberFormat="0" applyBorder="0" applyAlignment="0" applyProtection="0"/>
    <xf numFmtId="0" fontId="88" fillId="16" borderId="0" applyNumberFormat="0" applyBorder="0" applyAlignment="0" applyProtection="0"/>
    <xf numFmtId="0" fontId="88" fillId="16" borderId="0" applyNumberFormat="0" applyBorder="0" applyAlignment="0" applyProtection="0"/>
    <xf numFmtId="0" fontId="88" fillId="16" borderId="0" applyNumberFormat="0" applyBorder="0" applyAlignment="0" applyProtection="0"/>
    <xf numFmtId="0" fontId="88" fillId="17" borderId="0" applyNumberFormat="0" applyBorder="0" applyAlignment="0" applyProtection="0"/>
    <xf numFmtId="0" fontId="88" fillId="17" borderId="0" applyNumberFormat="0" applyBorder="0" applyAlignment="0" applyProtection="0"/>
    <xf numFmtId="0" fontId="88" fillId="17" borderId="0" applyNumberFormat="0" applyBorder="0" applyAlignment="0" applyProtection="0"/>
    <xf numFmtId="0" fontId="88" fillId="17" borderId="0" applyNumberFormat="0" applyBorder="0" applyAlignment="0" applyProtection="0"/>
    <xf numFmtId="0" fontId="88" fillId="17" borderId="0" applyNumberFormat="0" applyBorder="0" applyAlignment="0" applyProtection="0"/>
    <xf numFmtId="0" fontId="88" fillId="17" borderId="0" applyNumberFormat="0" applyBorder="0" applyAlignment="0" applyProtection="0"/>
    <xf numFmtId="0" fontId="88" fillId="17" borderId="0" applyNumberFormat="0" applyBorder="0" applyAlignment="0" applyProtection="0"/>
    <xf numFmtId="0" fontId="88" fillId="17" borderId="0" applyNumberFormat="0" applyBorder="0" applyAlignment="0" applyProtection="0"/>
    <xf numFmtId="0" fontId="88" fillId="18" borderId="0" applyNumberFormat="0" applyBorder="0" applyAlignment="0" applyProtection="0"/>
    <xf numFmtId="0" fontId="88" fillId="18" borderId="0" applyNumberFormat="0" applyBorder="0" applyAlignment="0" applyProtection="0"/>
    <xf numFmtId="0" fontId="88" fillId="18" borderId="0" applyNumberFormat="0" applyBorder="0" applyAlignment="0" applyProtection="0"/>
    <xf numFmtId="0" fontId="88" fillId="18" borderId="0" applyNumberFormat="0" applyBorder="0" applyAlignment="0" applyProtection="0"/>
    <xf numFmtId="0" fontId="88" fillId="18" borderId="0" applyNumberFormat="0" applyBorder="0" applyAlignment="0" applyProtection="0"/>
    <xf numFmtId="0" fontId="88" fillId="18" borderId="0" applyNumberFormat="0" applyBorder="0" applyAlignment="0" applyProtection="0"/>
    <xf numFmtId="0" fontId="88" fillId="18" borderId="0" applyNumberFormat="0" applyBorder="0" applyAlignment="0" applyProtection="0"/>
    <xf numFmtId="0" fontId="88" fillId="18" borderId="0" applyNumberFormat="0" applyBorder="0" applyAlignment="0" applyProtection="0"/>
    <xf numFmtId="0" fontId="88" fillId="19" borderId="0" applyNumberFormat="0" applyBorder="0" applyAlignment="0" applyProtection="0"/>
    <xf numFmtId="0" fontId="88" fillId="19" borderId="0" applyNumberFormat="0" applyBorder="0" applyAlignment="0" applyProtection="0"/>
    <xf numFmtId="0" fontId="88" fillId="19" borderId="0" applyNumberFormat="0" applyBorder="0" applyAlignment="0" applyProtection="0"/>
    <xf numFmtId="0" fontId="88" fillId="19" borderId="0" applyNumberFormat="0" applyBorder="0" applyAlignment="0" applyProtection="0"/>
    <xf numFmtId="0" fontId="88" fillId="19" borderId="0" applyNumberFormat="0" applyBorder="0" applyAlignment="0" applyProtection="0"/>
    <xf numFmtId="0" fontId="88" fillId="19" borderId="0" applyNumberFormat="0" applyBorder="0" applyAlignment="0" applyProtection="0"/>
    <xf numFmtId="0" fontId="88" fillId="19" borderId="0" applyNumberFormat="0" applyBorder="0" applyAlignment="0" applyProtection="0"/>
    <xf numFmtId="0" fontId="88" fillId="19" borderId="0" applyNumberFormat="0" applyBorder="0" applyAlignment="0" applyProtection="0"/>
    <xf numFmtId="0" fontId="88" fillId="20" borderId="0" applyNumberFormat="0" applyBorder="0" applyAlignment="0" applyProtection="0"/>
    <xf numFmtId="0" fontId="88" fillId="20" borderId="0" applyNumberFormat="0" applyBorder="0" applyAlignment="0" applyProtection="0"/>
    <xf numFmtId="0" fontId="88" fillId="20" borderId="0" applyNumberFormat="0" applyBorder="0" applyAlignment="0" applyProtection="0"/>
    <xf numFmtId="0" fontId="88" fillId="20" borderId="0" applyNumberFormat="0" applyBorder="0" applyAlignment="0" applyProtection="0"/>
    <xf numFmtId="0" fontId="88" fillId="20" borderId="0" applyNumberFormat="0" applyBorder="0" applyAlignment="0" applyProtection="0"/>
    <xf numFmtId="0" fontId="88" fillId="20" borderId="0" applyNumberFormat="0" applyBorder="0" applyAlignment="0" applyProtection="0"/>
    <xf numFmtId="0" fontId="88" fillId="20" borderId="0" applyNumberFormat="0" applyBorder="0" applyAlignment="0" applyProtection="0"/>
    <xf numFmtId="0" fontId="88" fillId="20" borderId="0" applyNumberFormat="0" applyBorder="0" applyAlignment="0" applyProtection="0"/>
    <xf numFmtId="0" fontId="88" fillId="21" borderId="0" applyNumberFormat="0" applyBorder="0" applyAlignment="0" applyProtection="0"/>
    <xf numFmtId="0" fontId="88" fillId="21" borderId="0" applyNumberFormat="0" applyBorder="0" applyAlignment="0" applyProtection="0"/>
    <xf numFmtId="0" fontId="88" fillId="21" borderId="0" applyNumberFormat="0" applyBorder="0" applyAlignment="0" applyProtection="0"/>
    <xf numFmtId="0" fontId="88" fillId="21" borderId="0" applyNumberFormat="0" applyBorder="0" applyAlignment="0" applyProtection="0"/>
    <xf numFmtId="0" fontId="88" fillId="21" borderId="0" applyNumberFormat="0" applyBorder="0" applyAlignment="0" applyProtection="0"/>
    <xf numFmtId="0" fontId="88" fillId="21" borderId="0" applyNumberFormat="0" applyBorder="0" applyAlignment="0" applyProtection="0"/>
    <xf numFmtId="0" fontId="88" fillId="21" borderId="0" applyNumberFormat="0" applyBorder="0" applyAlignment="0" applyProtection="0"/>
    <xf numFmtId="0" fontId="88" fillId="21" borderId="0" applyNumberFormat="0" applyBorder="0" applyAlignment="0" applyProtection="0"/>
    <xf numFmtId="0" fontId="88" fillId="22" borderId="0" applyNumberFormat="0" applyBorder="0" applyAlignment="0" applyProtection="0"/>
    <xf numFmtId="0" fontId="88" fillId="22" borderId="0" applyNumberFormat="0" applyBorder="0" applyAlignment="0" applyProtection="0"/>
    <xf numFmtId="0" fontId="88" fillId="22" borderId="0" applyNumberFormat="0" applyBorder="0" applyAlignment="0" applyProtection="0"/>
    <xf numFmtId="0" fontId="88" fillId="22" borderId="0" applyNumberFormat="0" applyBorder="0" applyAlignment="0" applyProtection="0"/>
    <xf numFmtId="0" fontId="88" fillId="22" borderId="0" applyNumberFormat="0" applyBorder="0" applyAlignment="0" applyProtection="0"/>
    <xf numFmtId="0" fontId="88" fillId="22" borderId="0" applyNumberFormat="0" applyBorder="0" applyAlignment="0" applyProtection="0"/>
    <xf numFmtId="0" fontId="88" fillId="22" borderId="0" applyNumberFormat="0" applyBorder="0" applyAlignment="0" applyProtection="0"/>
    <xf numFmtId="0" fontId="88" fillId="22" borderId="0" applyNumberFormat="0" applyBorder="0" applyAlignment="0" applyProtection="0"/>
    <xf numFmtId="0" fontId="88" fillId="23" borderId="0" applyNumberFormat="0" applyBorder="0" applyAlignment="0" applyProtection="0"/>
    <xf numFmtId="0" fontId="88" fillId="23" borderId="0" applyNumberFormat="0" applyBorder="0" applyAlignment="0" applyProtection="0"/>
    <xf numFmtId="0" fontId="88" fillId="23" borderId="0" applyNumberFormat="0" applyBorder="0" applyAlignment="0" applyProtection="0"/>
    <xf numFmtId="0" fontId="88" fillId="23" borderId="0" applyNumberFormat="0" applyBorder="0" applyAlignment="0" applyProtection="0"/>
    <xf numFmtId="0" fontId="88" fillId="23" borderId="0" applyNumberFormat="0" applyBorder="0" applyAlignment="0" applyProtection="0"/>
    <xf numFmtId="0" fontId="88" fillId="23" borderId="0" applyNumberFormat="0" applyBorder="0" applyAlignment="0" applyProtection="0"/>
    <xf numFmtId="0" fontId="88" fillId="23" borderId="0" applyNumberFormat="0" applyBorder="0" applyAlignment="0" applyProtection="0"/>
    <xf numFmtId="0" fontId="88" fillId="23" borderId="0" applyNumberFormat="0" applyBorder="0" applyAlignment="0" applyProtection="0"/>
    <xf numFmtId="0" fontId="88" fillId="24" borderId="0" applyNumberFormat="0" applyBorder="0" applyAlignment="0" applyProtection="0"/>
    <xf numFmtId="0" fontId="88" fillId="24" borderId="0" applyNumberFormat="0" applyBorder="0" applyAlignment="0" applyProtection="0"/>
    <xf numFmtId="0" fontId="88" fillId="24" borderId="0" applyNumberFormat="0" applyBorder="0" applyAlignment="0" applyProtection="0"/>
    <xf numFmtId="0" fontId="88" fillId="24" borderId="0" applyNumberFormat="0" applyBorder="0" applyAlignment="0" applyProtection="0"/>
    <xf numFmtId="0" fontId="88" fillId="24" borderId="0" applyNumberFormat="0" applyBorder="0" applyAlignment="0" applyProtection="0"/>
    <xf numFmtId="0" fontId="88" fillId="24" borderId="0" applyNumberFormat="0" applyBorder="0" applyAlignment="0" applyProtection="0"/>
    <xf numFmtId="0" fontId="88" fillId="24" borderId="0" applyNumberFormat="0" applyBorder="0" applyAlignment="0" applyProtection="0"/>
    <xf numFmtId="0" fontId="88" fillId="24" borderId="0" applyNumberFormat="0" applyBorder="0" applyAlignment="0" applyProtection="0"/>
    <xf numFmtId="0" fontId="88" fillId="25" borderId="0" applyNumberFormat="0" applyBorder="0" applyAlignment="0" applyProtection="0"/>
    <xf numFmtId="0" fontId="88" fillId="25" borderId="0" applyNumberFormat="0" applyBorder="0" applyAlignment="0" applyProtection="0"/>
    <xf numFmtId="0" fontId="88" fillId="25" borderId="0" applyNumberFormat="0" applyBorder="0" applyAlignment="0" applyProtection="0"/>
    <xf numFmtId="0" fontId="88" fillId="25" borderId="0" applyNumberFormat="0" applyBorder="0" applyAlignment="0" applyProtection="0"/>
    <xf numFmtId="0" fontId="88" fillId="25" borderId="0" applyNumberFormat="0" applyBorder="0" applyAlignment="0" applyProtection="0"/>
    <xf numFmtId="0" fontId="88" fillId="25" borderId="0" applyNumberFormat="0" applyBorder="0" applyAlignment="0" applyProtection="0"/>
    <xf numFmtId="0" fontId="88" fillId="25" borderId="0" applyNumberFormat="0" applyBorder="0" applyAlignment="0" applyProtection="0"/>
    <xf numFmtId="0" fontId="88" fillId="25" borderId="0" applyNumberFormat="0" applyBorder="0" applyAlignment="0" applyProtection="0"/>
    <xf numFmtId="0" fontId="88" fillId="26" borderId="0" applyNumberFormat="0" applyBorder="0" applyAlignment="0" applyProtection="0"/>
    <xf numFmtId="0" fontId="88" fillId="26" borderId="0" applyNumberFormat="0" applyBorder="0" applyAlignment="0" applyProtection="0"/>
    <xf numFmtId="0" fontId="88" fillId="26" borderId="0" applyNumberFormat="0" applyBorder="0" applyAlignment="0" applyProtection="0"/>
    <xf numFmtId="0" fontId="88" fillId="26" borderId="0" applyNumberFormat="0" applyBorder="0" applyAlignment="0" applyProtection="0"/>
    <xf numFmtId="0" fontId="88" fillId="26" borderId="0" applyNumberFormat="0" applyBorder="0" applyAlignment="0" applyProtection="0"/>
    <xf numFmtId="0" fontId="88" fillId="26" borderId="0" applyNumberFormat="0" applyBorder="0" applyAlignment="0" applyProtection="0"/>
    <xf numFmtId="0" fontId="88" fillId="26" borderId="0" applyNumberFormat="0" applyBorder="0" applyAlignment="0" applyProtection="0"/>
    <xf numFmtId="0" fontId="88" fillId="26" borderId="0" applyNumberFormat="0" applyBorder="0" applyAlignment="0" applyProtection="0"/>
    <xf numFmtId="0" fontId="89" fillId="27" borderId="0" applyNumberFormat="0" applyBorder="0" applyAlignment="0" applyProtection="0"/>
    <xf numFmtId="0" fontId="89" fillId="27" borderId="0" applyNumberFormat="0" applyBorder="0" applyAlignment="0" applyProtection="0"/>
    <xf numFmtId="0" fontId="89" fillId="28" borderId="0" applyNumberFormat="0" applyBorder="0" applyAlignment="0" applyProtection="0"/>
    <xf numFmtId="0" fontId="89" fillId="29" borderId="0" applyNumberFormat="0" applyBorder="0" applyAlignment="0" applyProtection="0"/>
    <xf numFmtId="0" fontId="89" fillId="29" borderId="0" applyNumberFormat="0" applyBorder="0" applyAlignment="0" applyProtection="0"/>
    <xf numFmtId="0" fontId="89" fillId="30" borderId="0" applyNumberFormat="0" applyBorder="0" applyAlignment="0" applyProtection="0"/>
    <xf numFmtId="0" fontId="89" fillId="30" borderId="0" applyNumberFormat="0" applyBorder="0" applyAlignment="0" applyProtection="0"/>
    <xf numFmtId="0" fontId="89" fillId="31" borderId="0" applyNumberFormat="0" applyBorder="0" applyAlignment="0" applyProtection="0"/>
    <xf numFmtId="0" fontId="89" fillId="32" borderId="0" applyNumberFormat="0" applyBorder="0" applyAlignment="0" applyProtection="0"/>
    <xf numFmtId="0" fontId="89" fillId="32" borderId="0" applyNumberFormat="0" applyBorder="0" applyAlignment="0" applyProtection="0"/>
    <xf numFmtId="0" fontId="89" fillId="33" borderId="0" applyNumberFormat="0" applyBorder="0" applyAlignment="0" applyProtection="0"/>
    <xf numFmtId="0" fontId="89" fillId="33" borderId="0" applyNumberFormat="0" applyBorder="0" applyAlignment="0" applyProtection="0"/>
    <xf numFmtId="0" fontId="89" fillId="34" borderId="0" applyNumberFormat="0" applyBorder="0" applyAlignment="0" applyProtection="0"/>
    <xf numFmtId="0" fontId="89" fillId="34" borderId="0" applyNumberFormat="0" applyBorder="0" applyAlignment="0" applyProtection="0"/>
    <xf numFmtId="0" fontId="89" fillId="35" borderId="0" applyNumberFormat="0" applyBorder="0" applyAlignment="0" applyProtection="0"/>
    <xf numFmtId="0" fontId="89" fillId="35" borderId="0" applyNumberFormat="0" applyBorder="0" applyAlignment="0" applyProtection="0"/>
    <xf numFmtId="0" fontId="89" fillId="36" borderId="0" applyNumberFormat="0" applyBorder="0" applyAlignment="0" applyProtection="0"/>
    <xf numFmtId="0" fontId="89" fillId="36" borderId="0" applyNumberFormat="0" applyBorder="0" applyAlignment="0" applyProtection="0"/>
    <xf numFmtId="0" fontId="89" fillId="37" borderId="0" applyNumberFormat="0" applyBorder="0" applyAlignment="0" applyProtection="0"/>
    <xf numFmtId="0" fontId="89" fillId="38" borderId="0" applyNumberFormat="0" applyBorder="0" applyAlignment="0" applyProtection="0"/>
    <xf numFmtId="0" fontId="90" fillId="39" borderId="0" applyNumberFormat="0" applyBorder="0" applyAlignment="0" applyProtection="0"/>
    <xf numFmtId="0" fontId="90" fillId="39" borderId="0" applyNumberFormat="0" applyBorder="0" applyAlignment="0" applyProtection="0"/>
    <xf numFmtId="0" fontId="91" fillId="40" borderId="33" applyNumberFormat="0" applyAlignment="0" applyProtection="0"/>
    <xf numFmtId="0" fontId="91" fillId="40" borderId="33" applyNumberFormat="0" applyAlignment="0" applyProtection="0"/>
    <xf numFmtId="0" fontId="92" fillId="41" borderId="34" applyNumberFormat="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77" fillId="0" borderId="0" applyFont="0" applyFill="0" applyBorder="0" applyAlignment="0" applyProtection="0"/>
    <xf numFmtId="43" fontId="77" fillId="0" borderId="0" applyFont="0" applyFill="0" applyBorder="0" applyAlignment="0" applyProtection="0"/>
    <xf numFmtId="43" fontId="77"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77"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88" fillId="0" borderId="0" applyFont="0" applyFill="0" applyBorder="0" applyAlignment="0" applyProtection="0"/>
    <xf numFmtId="43" fontId="63" fillId="0" borderId="0" applyFont="0" applyFill="0" applyBorder="0" applyAlignment="0" applyProtection="0"/>
    <xf numFmtId="43" fontId="11" fillId="0" borderId="0" applyFont="0" applyFill="0" applyBorder="0" applyAlignment="0" applyProtection="0"/>
    <xf numFmtId="43" fontId="63" fillId="0" borderId="0" applyFont="0" applyFill="0" applyBorder="0" applyAlignment="0" applyProtection="0"/>
    <xf numFmtId="44" fontId="2" fillId="0" borderId="0" applyFont="0" applyFill="0" applyBorder="0" applyAlignment="0" applyProtection="0"/>
    <xf numFmtId="44" fontId="78"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63" fillId="0" borderId="0" applyFont="0" applyFill="0" applyBorder="0" applyAlignment="0" applyProtection="0"/>
    <xf numFmtId="44" fontId="78"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63" fillId="0" borderId="0" applyFont="0" applyFill="0" applyBorder="0" applyAlignment="0" applyProtection="0">
      <alignment vertical="top"/>
    </xf>
    <xf numFmtId="44" fontId="63" fillId="0" borderId="0" applyFont="0" applyFill="0" applyBorder="0" applyAlignment="0" applyProtection="0">
      <alignment vertical="top"/>
    </xf>
    <xf numFmtId="44" fontId="11" fillId="0" borderId="0" applyFont="0" applyFill="0" applyBorder="0" applyAlignment="0" applyProtection="0"/>
    <xf numFmtId="44" fontId="63" fillId="0" borderId="0" applyFont="0" applyFill="0" applyBorder="0" applyAlignment="0" applyProtection="0">
      <alignment vertical="top"/>
    </xf>
    <xf numFmtId="44" fontId="63" fillId="0" borderId="0" applyFont="0" applyFill="0" applyBorder="0" applyAlignment="0" applyProtection="0"/>
    <xf numFmtId="44" fontId="77"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63"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63"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77"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11"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77"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11"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88" fillId="0" borderId="0" applyFont="0" applyFill="0" applyBorder="0" applyAlignment="0" applyProtection="0"/>
    <xf numFmtId="44" fontId="11" fillId="0" borderId="0" applyFont="0" applyFill="0" applyBorder="0" applyAlignment="0" applyProtection="0"/>
    <xf numFmtId="44" fontId="63" fillId="0" borderId="0" applyFont="0" applyFill="0" applyBorder="0" applyAlignment="0" applyProtection="0"/>
    <xf numFmtId="44" fontId="11" fillId="0" borderId="0" applyFont="0" applyFill="0" applyBorder="0" applyAlignment="0" applyProtection="0"/>
    <xf numFmtId="44" fontId="73"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93" fillId="0" borderId="0" applyNumberFormat="0" applyFill="0" applyBorder="0" applyAlignment="0" applyProtection="0"/>
    <xf numFmtId="0" fontId="94" fillId="42" borderId="0" applyNumberFormat="0" applyBorder="0" applyAlignment="0" applyProtection="0"/>
    <xf numFmtId="0" fontId="95" fillId="0" borderId="35" applyNumberFormat="0" applyFill="0" applyAlignment="0" applyProtection="0"/>
    <xf numFmtId="0" fontId="95" fillId="0" borderId="35" applyNumberFormat="0" applyFill="0" applyAlignment="0" applyProtection="0"/>
    <xf numFmtId="0" fontId="96" fillId="0" borderId="36" applyNumberFormat="0" applyFill="0" applyAlignment="0" applyProtection="0"/>
    <xf numFmtId="0" fontId="96" fillId="0" borderId="36" applyNumberFormat="0" applyFill="0" applyAlignment="0" applyProtection="0"/>
    <xf numFmtId="0" fontId="97" fillId="0" borderId="37" applyNumberFormat="0" applyFill="0" applyAlignment="0" applyProtection="0"/>
    <xf numFmtId="0" fontId="97" fillId="0" borderId="37" applyNumberFormat="0" applyFill="0" applyAlignment="0" applyProtection="0"/>
    <xf numFmtId="0" fontId="97" fillId="0" borderId="0" applyNumberFormat="0" applyFill="0" applyBorder="0" applyAlignment="0" applyProtection="0"/>
    <xf numFmtId="0" fontId="97"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80" fillId="0" borderId="0" applyNumberFormat="0" applyFill="0" applyBorder="0" applyAlignment="0" applyProtection="0">
      <alignment vertical="top"/>
      <protection locked="0"/>
    </xf>
    <xf numFmtId="0" fontId="98" fillId="43" borderId="33" applyNumberFormat="0" applyAlignment="0" applyProtection="0"/>
    <xf numFmtId="0" fontId="4" fillId="0" borderId="0" applyNumberFormat="0" applyBorder="0"/>
    <xf numFmtId="0" fontId="5" fillId="0" borderId="0" applyBorder="0" applyAlignment="0"/>
    <xf numFmtId="0" fontId="6" fillId="0" borderId="0" applyFill="0" applyBorder="0" applyAlignment="0"/>
    <xf numFmtId="0" fontId="99" fillId="0" borderId="38" applyNumberFormat="0" applyFill="0" applyAlignment="0" applyProtection="0"/>
    <xf numFmtId="0" fontId="100" fillId="44" borderId="0" applyNumberFormat="0" applyBorder="0" applyAlignment="0" applyProtection="0"/>
    <xf numFmtId="0" fontId="101" fillId="0" borderId="0"/>
    <xf numFmtId="0" fontId="63" fillId="0" borderId="0"/>
    <xf numFmtId="0" fontId="101" fillId="0" borderId="0"/>
    <xf numFmtId="0" fontId="63" fillId="0" borderId="0"/>
    <xf numFmtId="0" fontId="63" fillId="0" borderId="0"/>
    <xf numFmtId="0" fontId="11" fillId="0" borderId="0"/>
    <xf numFmtId="0" fontId="11"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102" fillId="0" borderId="0"/>
    <xf numFmtId="0" fontId="63" fillId="0" borderId="0"/>
    <xf numFmtId="170" fontId="64" fillId="0" borderId="0"/>
    <xf numFmtId="0" fontId="88" fillId="0" borderId="0"/>
    <xf numFmtId="0" fontId="11" fillId="0" borderId="0"/>
    <xf numFmtId="0" fontId="11" fillId="0" borderId="0"/>
    <xf numFmtId="0" fontId="70" fillId="0" borderId="0"/>
    <xf numFmtId="0" fontId="63" fillId="0" borderId="0"/>
    <xf numFmtId="0" fontId="70" fillId="0" borderId="0"/>
    <xf numFmtId="0" fontId="11" fillId="0" borderId="0"/>
    <xf numFmtId="0" fontId="63" fillId="0" borderId="0"/>
    <xf numFmtId="0" fontId="74" fillId="0" borderId="0"/>
    <xf numFmtId="0" fontId="63" fillId="0" borderId="0"/>
    <xf numFmtId="0" fontId="88" fillId="0" borderId="0"/>
    <xf numFmtId="0" fontId="63" fillId="0" borderId="0">
      <alignment vertical="top"/>
    </xf>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74" fillId="0" borderId="0"/>
    <xf numFmtId="0" fontId="88" fillId="0" borderId="0"/>
    <xf numFmtId="0" fontId="88" fillId="0" borderId="0"/>
    <xf numFmtId="0" fontId="88" fillId="0" borderId="0"/>
    <xf numFmtId="0" fontId="88" fillId="0" borderId="0"/>
    <xf numFmtId="0" fontId="63" fillId="0" borderId="0">
      <alignment vertical="top"/>
    </xf>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63" fillId="0" borderId="0"/>
    <xf numFmtId="0" fontId="88" fillId="0" borderId="0"/>
    <xf numFmtId="0" fontId="88" fillId="0" borderId="0"/>
    <xf numFmtId="0" fontId="88" fillId="0" borderId="0"/>
    <xf numFmtId="0" fontId="88" fillId="0" borderId="0"/>
    <xf numFmtId="0" fontId="74" fillId="0" borderId="0"/>
    <xf numFmtId="0" fontId="63" fillId="0" borderId="0">
      <alignment vertical="top"/>
    </xf>
    <xf numFmtId="0" fontId="88" fillId="0" borderId="0"/>
    <xf numFmtId="0" fontId="88" fillId="0" borderId="0"/>
    <xf numFmtId="0" fontId="88" fillId="0" borderId="0"/>
    <xf numFmtId="0" fontId="88" fillId="0" borderId="0"/>
    <xf numFmtId="0" fontId="74" fillId="0" borderId="0"/>
    <xf numFmtId="0" fontId="11" fillId="0" borderId="0"/>
    <xf numFmtId="0" fontId="88" fillId="0" borderId="0"/>
    <xf numFmtId="0" fontId="11" fillId="0" borderId="0"/>
    <xf numFmtId="0" fontId="88" fillId="0" borderId="0"/>
    <xf numFmtId="0" fontId="88" fillId="0" borderId="0"/>
    <xf numFmtId="0" fontId="88" fillId="0" borderId="0"/>
    <xf numFmtId="0" fontId="88" fillId="0" borderId="0"/>
    <xf numFmtId="0" fontId="70" fillId="0" borderId="0"/>
    <xf numFmtId="0" fontId="63" fillId="0" borderId="0">
      <alignment vertical="top"/>
    </xf>
    <xf numFmtId="0" fontId="70" fillId="0" borderId="0"/>
    <xf numFmtId="0" fontId="63" fillId="0" borderId="0">
      <alignment vertical="top"/>
    </xf>
    <xf numFmtId="0" fontId="63" fillId="0" borderId="0">
      <alignment vertical="top"/>
    </xf>
    <xf numFmtId="0" fontId="70" fillId="0" borderId="0"/>
    <xf numFmtId="0" fontId="70" fillId="0" borderId="0"/>
    <xf numFmtId="0" fontId="88" fillId="0" borderId="0"/>
    <xf numFmtId="0" fontId="63" fillId="0" borderId="0">
      <alignment vertical="top"/>
    </xf>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70"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11" fillId="0" borderId="0"/>
    <xf numFmtId="0" fontId="63" fillId="0" borderId="0">
      <alignment vertical="top"/>
    </xf>
    <xf numFmtId="0" fontId="88" fillId="0" borderId="0"/>
    <xf numFmtId="0" fontId="88" fillId="0" borderId="0"/>
    <xf numFmtId="0" fontId="88" fillId="0" borderId="0"/>
    <xf numFmtId="0" fontId="88" fillId="0" borderId="0"/>
    <xf numFmtId="0" fontId="11"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70"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11"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63" fillId="0" borderId="0"/>
    <xf numFmtId="0" fontId="63" fillId="0" borderId="0">
      <alignment vertical="top"/>
    </xf>
    <xf numFmtId="0" fontId="63" fillId="0" borderId="0">
      <alignment vertical="top"/>
    </xf>
    <xf numFmtId="0" fontId="63" fillId="0" borderId="0"/>
    <xf numFmtId="0" fontId="63" fillId="0" borderId="0">
      <alignment vertical="top"/>
    </xf>
    <xf numFmtId="0" fontId="63" fillId="0" borderId="0"/>
    <xf numFmtId="0" fontId="63"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11"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11" fillId="0" borderId="0"/>
    <xf numFmtId="0" fontId="88" fillId="0" borderId="0"/>
    <xf numFmtId="0" fontId="88" fillId="0" borderId="0"/>
    <xf numFmtId="0" fontId="88" fillId="0" borderId="0"/>
    <xf numFmtId="0" fontId="2" fillId="0" borderId="0" applyProtection="0">
      <protection locked="0"/>
    </xf>
    <xf numFmtId="0" fontId="11" fillId="0" borderId="0" applyProtection="0">
      <protection locked="0"/>
    </xf>
    <xf numFmtId="0" fontId="11" fillId="0" borderId="0" applyProtection="0">
      <protection locked="0"/>
    </xf>
    <xf numFmtId="0" fontId="64" fillId="0" borderId="0"/>
    <xf numFmtId="0" fontId="2" fillId="0" borderId="0"/>
    <xf numFmtId="0" fontId="11" fillId="0" borderId="0"/>
    <xf numFmtId="0" fontId="77" fillId="45" borderId="39" applyNumberFormat="0" applyFont="0" applyAlignment="0" applyProtection="0"/>
    <xf numFmtId="0" fontId="88" fillId="45" borderId="39" applyNumberFormat="0" applyFont="0" applyAlignment="0" applyProtection="0"/>
    <xf numFmtId="0" fontId="88" fillId="45" borderId="39" applyNumberFormat="0" applyFont="0" applyAlignment="0" applyProtection="0"/>
    <xf numFmtId="0" fontId="88" fillId="45" borderId="39" applyNumberFormat="0" applyFont="0" applyAlignment="0" applyProtection="0"/>
    <xf numFmtId="0" fontId="88" fillId="45" borderId="39" applyNumberFormat="0" applyFont="0" applyAlignment="0" applyProtection="0"/>
    <xf numFmtId="0" fontId="88" fillId="45" borderId="39" applyNumberFormat="0" applyFont="0" applyAlignment="0" applyProtection="0"/>
    <xf numFmtId="0" fontId="88" fillId="45" borderId="39" applyNumberFormat="0" applyFont="0" applyAlignment="0" applyProtection="0"/>
    <xf numFmtId="0" fontId="88" fillId="45" borderId="39" applyNumberFormat="0" applyFont="0" applyAlignment="0" applyProtection="0"/>
    <xf numFmtId="0" fontId="88" fillId="45" borderId="39" applyNumberFormat="0" applyFont="0" applyAlignment="0" applyProtection="0"/>
    <xf numFmtId="0" fontId="77" fillId="45" borderId="39" applyNumberFormat="0" applyFont="0" applyAlignment="0" applyProtection="0"/>
    <xf numFmtId="0" fontId="88" fillId="45" borderId="39" applyNumberFormat="0" applyFont="0" applyAlignment="0" applyProtection="0"/>
    <xf numFmtId="0" fontId="88" fillId="45" borderId="39" applyNumberFormat="0" applyFont="0" applyAlignment="0" applyProtection="0"/>
    <xf numFmtId="0" fontId="88" fillId="45" borderId="39" applyNumberFormat="0" applyFont="0" applyAlignment="0" applyProtection="0"/>
    <xf numFmtId="0" fontId="88" fillId="45" borderId="39" applyNumberFormat="0" applyFont="0" applyAlignment="0" applyProtection="0"/>
    <xf numFmtId="0" fontId="88" fillId="45" borderId="39" applyNumberFormat="0" applyFont="0" applyAlignment="0" applyProtection="0"/>
    <xf numFmtId="0" fontId="88" fillId="45" borderId="39" applyNumberFormat="0" applyFont="0" applyAlignment="0" applyProtection="0"/>
    <xf numFmtId="0" fontId="88" fillId="45" borderId="39" applyNumberFormat="0" applyFont="0" applyAlignment="0" applyProtection="0"/>
    <xf numFmtId="0" fontId="88" fillId="45" borderId="39" applyNumberFormat="0" applyFont="0" applyAlignment="0" applyProtection="0"/>
    <xf numFmtId="0" fontId="103" fillId="40" borderId="40" applyNumberFormat="0" applyAlignment="0" applyProtection="0"/>
    <xf numFmtId="0" fontId="103" fillId="40" borderId="40" applyNumberFormat="0" applyAlignment="0" applyProtection="0"/>
    <xf numFmtId="0" fontId="7" fillId="0" borderId="0" applyNumberFormat="0" applyFill="0" applyBorder="0">
      <alignment horizontal="left"/>
    </xf>
    <xf numFmtId="0" fontId="104" fillId="0" borderId="0" applyNumberFormat="0" applyFill="0" applyBorder="0" applyAlignment="0" applyProtection="0"/>
    <xf numFmtId="0" fontId="105" fillId="0" borderId="41" applyNumberFormat="0" applyFill="0" applyAlignment="0" applyProtection="0"/>
    <xf numFmtId="0" fontId="105" fillId="0" borderId="41" applyNumberFormat="0" applyFill="0" applyAlignment="0" applyProtection="0"/>
    <xf numFmtId="0" fontId="106" fillId="0" borderId="0" applyNumberFormat="0" applyFill="0" applyBorder="0" applyAlignment="0" applyProtection="0"/>
    <xf numFmtId="9" fontId="113" fillId="0" borderId="0" applyFont="0" applyFill="0" applyBorder="0" applyAlignment="0" applyProtection="0"/>
    <xf numFmtId="0" fontId="2" fillId="0" borderId="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45" borderId="39" applyNumberFormat="0" applyFont="0" applyAlignment="0" applyProtection="0"/>
    <xf numFmtId="0" fontId="1" fillId="45" borderId="39" applyNumberFormat="0" applyFont="0" applyAlignment="0" applyProtection="0"/>
    <xf numFmtId="0" fontId="1" fillId="45" borderId="39" applyNumberFormat="0" applyFont="0" applyAlignment="0" applyProtection="0"/>
    <xf numFmtId="0" fontId="1" fillId="45" borderId="39" applyNumberFormat="0" applyFont="0" applyAlignment="0" applyProtection="0"/>
    <xf numFmtId="0" fontId="1" fillId="45" borderId="39" applyNumberFormat="0" applyFont="0" applyAlignment="0" applyProtection="0"/>
    <xf numFmtId="0" fontId="1" fillId="45" borderId="39" applyNumberFormat="0" applyFont="0" applyAlignment="0" applyProtection="0"/>
    <xf numFmtId="0" fontId="1" fillId="45" borderId="39" applyNumberFormat="0" applyFont="0" applyAlignment="0" applyProtection="0"/>
    <xf numFmtId="0" fontId="1" fillId="45" borderId="39" applyNumberFormat="0" applyFont="0" applyAlignment="0" applyProtection="0"/>
    <xf numFmtId="0" fontId="1" fillId="45" borderId="39" applyNumberFormat="0" applyFont="0" applyAlignment="0" applyProtection="0"/>
    <xf numFmtId="0" fontId="1" fillId="45" borderId="39" applyNumberFormat="0" applyFont="0" applyAlignment="0" applyProtection="0"/>
    <xf numFmtId="0" fontId="1" fillId="45" borderId="39" applyNumberFormat="0" applyFont="0" applyAlignment="0" applyProtection="0"/>
    <xf numFmtId="0" fontId="1" fillId="45" borderId="39" applyNumberFormat="0" applyFont="0" applyAlignment="0" applyProtection="0"/>
    <xf numFmtId="0" fontId="1" fillId="45" borderId="39" applyNumberFormat="0" applyFont="0" applyAlignment="0" applyProtection="0"/>
    <xf numFmtId="0" fontId="1" fillId="45" borderId="39" applyNumberFormat="0" applyFont="0" applyAlignment="0" applyProtection="0"/>
    <xf numFmtId="0" fontId="1" fillId="45" borderId="39" applyNumberFormat="0" applyFont="0" applyAlignment="0" applyProtection="0"/>
    <xf numFmtId="0" fontId="1" fillId="45" borderId="39" applyNumberFormat="0" applyFont="0" applyAlignment="0" applyProtection="0"/>
    <xf numFmtId="9" fontId="2" fillId="0" borderId="0" applyFont="0" applyFill="0" applyBorder="0" applyAlignment="0" applyProtection="0"/>
    <xf numFmtId="0" fontId="128" fillId="0" borderId="0" applyNumberFormat="0" applyFill="0" applyBorder="0" applyAlignment="0" applyProtection="0"/>
  </cellStyleXfs>
  <cellXfs count="2650">
    <xf numFmtId="0" fontId="0" fillId="0" borderId="0" xfId="0"/>
    <xf numFmtId="0" fontId="0" fillId="0" borderId="0" xfId="0" applyBorder="1"/>
    <xf numFmtId="0" fontId="0" fillId="0" borderId="0" xfId="0" applyFill="1"/>
    <xf numFmtId="0" fontId="0" fillId="0" borderId="0" xfId="0" applyFill="1" applyBorder="1" applyProtection="1"/>
    <xf numFmtId="0" fontId="0" fillId="0" borderId="0" xfId="0" applyBorder="1" applyAlignment="1" applyProtection="1">
      <alignment horizontal="center"/>
    </xf>
    <xf numFmtId="164" fontId="0" fillId="0" borderId="0" xfId="0" applyNumberFormat="1" applyFill="1" applyBorder="1" applyAlignment="1">
      <alignment horizontal="right"/>
    </xf>
    <xf numFmtId="0" fontId="9" fillId="0" borderId="0" xfId="0" applyFont="1"/>
    <xf numFmtId="0" fontId="10" fillId="0" borderId="0" xfId="0" applyFont="1"/>
    <xf numFmtId="0" fontId="11" fillId="0" borderId="0" xfId="0" applyFont="1" applyProtection="1"/>
    <xf numFmtId="0" fontId="0" fillId="0" borderId="1" xfId="0" applyBorder="1"/>
    <xf numFmtId="0" fontId="0" fillId="0" borderId="2" xfId="0" applyBorder="1"/>
    <xf numFmtId="0" fontId="0" fillId="0" borderId="3" xfId="0" applyBorder="1"/>
    <xf numFmtId="0" fontId="0" fillId="0" borderId="4" xfId="0" applyBorder="1"/>
    <xf numFmtId="0" fontId="0" fillId="0" borderId="0" xfId="0" applyAlignment="1"/>
    <xf numFmtId="0" fontId="11" fillId="0" borderId="0" xfId="0" applyFont="1" applyAlignment="1">
      <alignment horizontal="center"/>
    </xf>
    <xf numFmtId="0" fontId="2" fillId="0" borderId="5" xfId="546" applyFont="1" applyBorder="1" applyProtection="1"/>
    <xf numFmtId="0" fontId="0" fillId="0" borderId="0" xfId="0" applyProtection="1"/>
    <xf numFmtId="0" fontId="0" fillId="0" borderId="0" xfId="0" applyAlignment="1" applyProtection="1">
      <alignment horizontal="left"/>
    </xf>
    <xf numFmtId="0" fontId="0" fillId="0" borderId="0" xfId="0" applyFill="1" applyBorder="1" applyAlignment="1" applyProtection="1">
      <alignment horizontal="left"/>
    </xf>
    <xf numFmtId="168" fontId="0" fillId="0" borderId="0" xfId="0" applyNumberFormat="1" applyFill="1" applyBorder="1" applyAlignment="1" applyProtection="1">
      <alignment horizontal="left"/>
    </xf>
    <xf numFmtId="167" fontId="0" fillId="0" borderId="0" xfId="0" applyNumberFormat="1" applyFill="1" applyBorder="1" applyAlignment="1" applyProtection="1">
      <alignment horizontal="left"/>
    </xf>
    <xf numFmtId="164" fontId="0" fillId="0" borderId="0" xfId="0" applyNumberFormat="1" applyFill="1" applyBorder="1" applyAlignment="1" applyProtection="1">
      <alignment horizontal="right"/>
    </xf>
    <xf numFmtId="0" fontId="9" fillId="0" borderId="0" xfId="0" applyFont="1" applyAlignment="1">
      <alignment vertical="top" wrapText="1"/>
    </xf>
    <xf numFmtId="0" fontId="30" fillId="0" borderId="0" xfId="0" applyFont="1"/>
    <xf numFmtId="0" fontId="10" fillId="0" borderId="6" xfId="0" applyFont="1" applyFill="1" applyBorder="1" applyAlignment="1" applyProtection="1">
      <alignment horizontal="center"/>
    </xf>
    <xf numFmtId="0" fontId="11" fillId="0" borderId="0" xfId="0" applyFont="1" applyFill="1" applyBorder="1" applyAlignment="1" applyProtection="1">
      <alignment horizontal="center"/>
    </xf>
    <xf numFmtId="0" fontId="9" fillId="0" borderId="0" xfId="0" applyFont="1" applyFill="1" applyBorder="1" applyAlignment="1" applyProtection="1">
      <alignment horizontal="center"/>
    </xf>
    <xf numFmtId="0" fontId="10" fillId="0" borderId="0" xfId="0" applyFont="1" applyFill="1" applyBorder="1" applyAlignment="1" applyProtection="1">
      <alignment horizontal="left" vertical="top"/>
    </xf>
    <xf numFmtId="0" fontId="10" fillId="0" borderId="0" xfId="0" applyFont="1" applyFill="1" applyBorder="1" applyAlignment="1" applyProtection="1"/>
    <xf numFmtId="0" fontId="19" fillId="0" borderId="0" xfId="0" applyFont="1" applyFill="1" applyBorder="1" applyAlignment="1" applyProtection="1"/>
    <xf numFmtId="0" fontId="2" fillId="0" borderId="0" xfId="546" applyFont="1" applyAlignment="1" applyProtection="1"/>
    <xf numFmtId="0" fontId="29" fillId="0" borderId="0" xfId="0" applyFont="1" applyFill="1" applyBorder="1" applyAlignment="1" applyProtection="1"/>
    <xf numFmtId="0" fontId="8" fillId="0" borderId="0" xfId="0" applyFont="1" applyFill="1" applyBorder="1" applyAlignment="1">
      <alignment horizontal="center" vertical="center"/>
    </xf>
    <xf numFmtId="0" fontId="9" fillId="0" borderId="0" xfId="0" applyFont="1" applyAlignment="1" applyProtection="1">
      <alignment horizontal="center"/>
    </xf>
    <xf numFmtId="0" fontId="11" fillId="0" borderId="0" xfId="0" applyFont="1" applyAlignment="1" applyProtection="1">
      <alignment horizontal="left" vertical="top" wrapText="1"/>
    </xf>
    <xf numFmtId="0" fontId="0" fillId="0" borderId="0" xfId="0" applyBorder="1" applyProtection="1"/>
    <xf numFmtId="0" fontId="18" fillId="0" borderId="0" xfId="0" applyFont="1" applyProtection="1"/>
    <xf numFmtId="0" fontId="10" fillId="0" borderId="0" xfId="0" applyFont="1" applyAlignment="1" applyProtection="1">
      <alignment vertical="top"/>
    </xf>
    <xf numFmtId="0" fontId="10" fillId="0" borderId="0" xfId="0" applyFont="1" applyAlignment="1" applyProtection="1">
      <alignment vertical="top" wrapText="1"/>
    </xf>
    <xf numFmtId="0" fontId="11" fillId="0" borderId="0" xfId="0" applyFont="1" applyAlignment="1" applyProtection="1">
      <alignment horizontal="left" indent="4"/>
    </xf>
    <xf numFmtId="0" fontId="11" fillId="0" borderId="0" xfId="0" applyFont="1" applyAlignment="1" applyProtection="1"/>
    <xf numFmtId="0" fontId="10" fillId="0" borderId="0" xfId="0" applyFont="1" applyAlignment="1" applyProtection="1">
      <alignment horizontal="left" vertical="top"/>
    </xf>
    <xf numFmtId="0" fontId="0" fillId="0" borderId="0" xfId="0" applyAlignment="1" applyProtection="1"/>
    <xf numFmtId="0" fontId="10" fillId="0" borderId="0" xfId="0" applyFont="1" applyAlignment="1" applyProtection="1">
      <alignment horizontal="left"/>
    </xf>
    <xf numFmtId="0" fontId="10" fillId="0" borderId="0" xfId="0" applyFont="1" applyAlignment="1" applyProtection="1"/>
    <xf numFmtId="0" fontId="10" fillId="0" borderId="0" xfId="0" applyNumberFormat="1" applyFont="1" applyProtection="1"/>
    <xf numFmtId="0" fontId="10" fillId="0" borderId="0" xfId="0" applyFont="1" applyProtection="1"/>
    <xf numFmtId="0" fontId="23" fillId="0" borderId="0" xfId="546" applyFont="1" applyFill="1" applyProtection="1"/>
    <xf numFmtId="0" fontId="9" fillId="0" borderId="0" xfId="0" applyFont="1" applyFill="1" applyBorder="1" applyProtection="1"/>
    <xf numFmtId="1" fontId="10" fillId="0" borderId="0" xfId="0" applyNumberFormat="1" applyFont="1" applyBorder="1" applyAlignment="1" applyProtection="1">
      <alignment horizontal="left"/>
    </xf>
    <xf numFmtId="0" fontId="0" fillId="0" borderId="0" xfId="0" applyFill="1" applyProtection="1"/>
    <xf numFmtId="0" fontId="12" fillId="0" borderId="0" xfId="0" applyFont="1" applyProtection="1"/>
    <xf numFmtId="1" fontId="10" fillId="0" borderId="0" xfId="0" applyNumberFormat="1" applyFont="1" applyBorder="1" applyAlignment="1" applyProtection="1">
      <alignment horizontal="right"/>
    </xf>
    <xf numFmtId="0" fontId="0" fillId="0" borderId="0" xfId="0" applyBorder="1" applyAlignment="1" applyProtection="1">
      <alignment horizontal="right"/>
    </xf>
    <xf numFmtId="1" fontId="10" fillId="0" borderId="0" xfId="0" applyNumberFormat="1" applyFont="1" applyFill="1" applyBorder="1" applyAlignment="1" applyProtection="1">
      <alignment horizontal="left"/>
    </xf>
    <xf numFmtId="0" fontId="0" fillId="0" borderId="0" xfId="0" applyBorder="1" applyAlignment="1" applyProtection="1">
      <alignment horizontal="left"/>
    </xf>
    <xf numFmtId="0" fontId="10" fillId="0" borderId="0" xfId="0" applyFont="1" applyBorder="1" applyAlignment="1" applyProtection="1">
      <alignment horizontal="right"/>
    </xf>
    <xf numFmtId="0" fontId="10" fillId="0" borderId="0" xfId="0" applyFont="1" applyFill="1" applyBorder="1" applyAlignment="1" applyProtection="1">
      <alignment horizontal="right"/>
    </xf>
    <xf numFmtId="0" fontId="10" fillId="0" borderId="0" xfId="0" applyFont="1" applyBorder="1" applyAlignment="1" applyProtection="1">
      <alignment horizontal="left"/>
    </xf>
    <xf numFmtId="0" fontId="10" fillId="0" borderId="0" xfId="0" applyFont="1" applyFill="1" applyBorder="1" applyAlignment="1" applyProtection="1">
      <alignment horizontal="left"/>
    </xf>
    <xf numFmtId="0" fontId="22" fillId="0" borderId="0" xfId="0" applyFont="1" applyBorder="1" applyProtection="1"/>
    <xf numFmtId="0" fontId="14" fillId="0" borderId="0" xfId="0" applyFont="1" applyBorder="1" applyProtection="1"/>
    <xf numFmtId="0" fontId="9" fillId="0" borderId="0" xfId="0" applyFont="1" applyBorder="1" applyProtection="1"/>
    <xf numFmtId="0" fontId="9" fillId="0" borderId="0" xfId="0" applyFont="1" applyProtection="1"/>
    <xf numFmtId="0" fontId="10" fillId="0" borderId="0" xfId="0" applyFont="1" applyAlignment="1" applyProtection="1">
      <alignment horizontal="right"/>
    </xf>
    <xf numFmtId="0" fontId="2" fillId="0" borderId="0" xfId="546" applyFont="1" applyProtection="1"/>
    <xf numFmtId="173" fontId="2" fillId="0" borderId="0" xfId="546" applyNumberFormat="1" applyFont="1" applyAlignment="1" applyProtection="1"/>
    <xf numFmtId="9" fontId="2" fillId="0" borderId="0" xfId="546" applyNumberFormat="1" applyFont="1" applyAlignment="1" applyProtection="1">
      <alignment horizontal="left"/>
    </xf>
    <xf numFmtId="169" fontId="2" fillId="0" borderId="0" xfId="546" applyNumberFormat="1" applyFont="1" applyProtection="1"/>
    <xf numFmtId="169" fontId="2" fillId="0" borderId="0" xfId="546" applyNumberFormat="1" applyFont="1" applyFill="1" applyProtection="1"/>
    <xf numFmtId="0" fontId="2" fillId="0" borderId="0" xfId="546" applyFont="1" applyFill="1" applyProtection="1"/>
    <xf numFmtId="0" fontId="11" fillId="0" borderId="0" xfId="0" applyFont="1" applyBorder="1" applyProtection="1"/>
    <xf numFmtId="0" fontId="2" fillId="0" borderId="0" xfId="0" applyFont="1" applyProtection="1"/>
    <xf numFmtId="0" fontId="11" fillId="0" borderId="0" xfId="0" applyFont="1" applyBorder="1" applyAlignment="1" applyProtection="1">
      <alignment horizontal="right"/>
    </xf>
    <xf numFmtId="0" fontId="11" fillId="0" borderId="0" xfId="0" applyFont="1" applyFill="1" applyBorder="1" applyProtection="1"/>
    <xf numFmtId="0" fontId="31" fillId="0" borderId="0" xfId="0" applyFont="1" applyProtection="1"/>
    <xf numFmtId="0" fontId="11" fillId="0" borderId="0" xfId="0" applyFont="1" applyFill="1" applyBorder="1" applyAlignment="1" applyProtection="1">
      <alignment horizontal="left"/>
    </xf>
    <xf numFmtId="0" fontId="13" fillId="0" borderId="0" xfId="0" applyFont="1" applyFill="1" applyBorder="1" applyProtection="1"/>
    <xf numFmtId="0" fontId="15" fillId="0" borderId="0" xfId="0" applyFont="1" applyProtection="1"/>
    <xf numFmtId="0" fontId="9" fillId="0" borderId="5" xfId="0" applyFont="1" applyBorder="1" applyAlignment="1" applyProtection="1">
      <alignment horizontal="center"/>
    </xf>
    <xf numFmtId="0" fontId="12" fillId="0" borderId="0" xfId="0" applyFont="1" applyFill="1" applyBorder="1" applyProtection="1"/>
    <xf numFmtId="0" fontId="22" fillId="0" borderId="0" xfId="0" applyFont="1" applyProtection="1"/>
    <xf numFmtId="0" fontId="0" fillId="0" borderId="0" xfId="0" applyAlignment="1" applyProtection="1">
      <alignment vertical="top"/>
    </xf>
    <xf numFmtId="0" fontId="0" fillId="0" borderId="0" xfId="0" applyAlignment="1" applyProtection="1">
      <alignment vertical="top" wrapText="1"/>
    </xf>
    <xf numFmtId="0" fontId="0" fillId="0" borderId="0" xfId="0" applyBorder="1" applyAlignment="1" applyProtection="1">
      <alignment vertical="top" wrapText="1"/>
    </xf>
    <xf numFmtId="0" fontId="0" fillId="0" borderId="1" xfId="0" applyBorder="1" applyProtection="1"/>
    <xf numFmtId="0" fontId="0" fillId="0" borderId="2" xfId="0" applyBorder="1" applyProtection="1"/>
    <xf numFmtId="0" fontId="9" fillId="0" borderId="1" xfId="0" applyFont="1" applyBorder="1" applyAlignment="1" applyProtection="1">
      <alignment horizontal="center" wrapText="1"/>
    </xf>
    <xf numFmtId="0" fontId="9" fillId="0" borderId="7" xfId="0" applyFont="1" applyBorder="1" applyAlignment="1" applyProtection="1">
      <alignment horizontal="center" wrapText="1"/>
    </xf>
    <xf numFmtId="0" fontId="9" fillId="0" borderId="0" xfId="0" applyFont="1" applyBorder="1" applyAlignment="1" applyProtection="1">
      <alignment horizontal="center"/>
    </xf>
    <xf numFmtId="0" fontId="0" fillId="0" borderId="3" xfId="0" applyBorder="1" applyProtection="1"/>
    <xf numFmtId="0" fontId="0" fillId="0" borderId="4" xfId="0" applyBorder="1" applyProtection="1"/>
    <xf numFmtId="0" fontId="0" fillId="0" borderId="8" xfId="0" applyBorder="1" applyProtection="1"/>
    <xf numFmtId="0" fontId="0" fillId="0" borderId="9" xfId="0" applyBorder="1" applyProtection="1"/>
    <xf numFmtId="0" fontId="0" fillId="0" borderId="5" xfId="0" applyBorder="1" applyProtection="1"/>
    <xf numFmtId="0" fontId="0" fillId="0" borderId="10" xfId="0" applyBorder="1" applyProtection="1"/>
    <xf numFmtId="0" fontId="9" fillId="0" borderId="4" xfId="0" applyFont="1" applyBorder="1" applyAlignment="1" applyProtection="1">
      <alignment horizontal="center"/>
    </xf>
    <xf numFmtId="0" fontId="19" fillId="0" borderId="3" xfId="0" applyFont="1" applyFill="1" applyBorder="1" applyAlignment="1" applyProtection="1">
      <alignment horizontal="left"/>
    </xf>
    <xf numFmtId="0" fontId="19" fillId="0" borderId="9" xfId="0" applyFont="1" applyFill="1" applyBorder="1" applyAlignment="1" applyProtection="1">
      <alignment horizontal="left"/>
    </xf>
    <xf numFmtId="0" fontId="9" fillId="0" borderId="4" xfId="0" applyFont="1" applyBorder="1" applyAlignment="1" applyProtection="1">
      <alignment horizontal="right"/>
    </xf>
    <xf numFmtId="0" fontId="9" fillId="0" borderId="8" xfId="0" applyFont="1" applyBorder="1" applyAlignment="1" applyProtection="1">
      <alignment horizontal="right"/>
    </xf>
    <xf numFmtId="0" fontId="19" fillId="0" borderId="0" xfId="0" applyFont="1" applyFill="1" applyBorder="1" applyAlignment="1" applyProtection="1">
      <alignment horizontal="left"/>
    </xf>
    <xf numFmtId="0" fontId="0" fillId="0" borderId="0" xfId="0" applyFill="1" applyBorder="1" applyAlignment="1" applyProtection="1"/>
    <xf numFmtId="0" fontId="9" fillId="0" borderId="0" xfId="0" applyFont="1" applyBorder="1" applyAlignment="1" applyProtection="1">
      <alignment horizontal="right"/>
    </xf>
    <xf numFmtId="0" fontId="0" fillId="0" borderId="0" xfId="0" applyFill="1" applyBorder="1" applyAlignment="1" applyProtection="1">
      <alignment horizontal="right"/>
    </xf>
    <xf numFmtId="0" fontId="9" fillId="0" borderId="0" xfId="0" applyFont="1" applyFill="1" applyBorder="1" applyAlignment="1" applyProtection="1">
      <alignment horizontal="right"/>
    </xf>
    <xf numFmtId="0" fontId="9" fillId="0" borderId="0" xfId="0" applyFont="1" applyFill="1" applyBorder="1" applyAlignment="1" applyProtection="1">
      <alignment horizontal="left"/>
    </xf>
    <xf numFmtId="0" fontId="9" fillId="0" borderId="0" xfId="0" applyFont="1" applyBorder="1" applyAlignment="1" applyProtection="1">
      <alignment horizontal="left"/>
    </xf>
    <xf numFmtId="0" fontId="0" fillId="0" borderId="11" xfId="0" applyBorder="1" applyProtection="1"/>
    <xf numFmtId="0" fontId="0" fillId="0" borderId="3" xfId="0" applyBorder="1" applyAlignment="1" applyProtection="1">
      <alignment horizontal="left"/>
    </xf>
    <xf numFmtId="0" fontId="0" fillId="0" borderId="4" xfId="0" applyBorder="1" applyAlignment="1" applyProtection="1">
      <alignment horizontal="left"/>
    </xf>
    <xf numFmtId="0" fontId="0" fillId="0" borderId="8" xfId="0" applyBorder="1" applyAlignment="1" applyProtection="1">
      <alignment horizontal="left"/>
    </xf>
    <xf numFmtId="0" fontId="11" fillId="0" borderId="12" xfId="0" applyFont="1" applyBorder="1" applyAlignment="1" applyProtection="1">
      <alignment horizontal="left"/>
    </xf>
    <xf numFmtId="0" fontId="9" fillId="0" borderId="9" xfId="0" applyFont="1" applyBorder="1" applyProtection="1"/>
    <xf numFmtId="164" fontId="0" fillId="0" borderId="0" xfId="0" applyNumberFormat="1" applyFill="1" applyBorder="1" applyAlignment="1" applyProtection="1">
      <alignment horizontal="center"/>
    </xf>
    <xf numFmtId="0" fontId="0" fillId="0" borderId="13" xfId="0" applyBorder="1" applyProtection="1"/>
    <xf numFmtId="0" fontId="9" fillId="0" borderId="0" xfId="0" applyFont="1" applyAlignment="1" applyProtection="1"/>
    <xf numFmtId="0" fontId="11" fillId="0" borderId="3" xfId="0" applyFont="1" applyBorder="1" applyProtection="1"/>
    <xf numFmtId="0" fontId="11" fillId="0" borderId="0" xfId="546" applyFont="1" applyProtection="1"/>
    <xf numFmtId="0" fontId="33" fillId="0" borderId="0" xfId="546" applyFont="1" applyAlignment="1" applyProtection="1"/>
    <xf numFmtId="49" fontId="2" fillId="0" borderId="0" xfId="546" applyNumberFormat="1" applyFont="1" applyProtection="1"/>
    <xf numFmtId="0" fontId="31" fillId="0" borderId="0" xfId="546" applyFont="1" applyProtection="1"/>
    <xf numFmtId="169" fontId="23" fillId="0" borderId="5" xfId="546" applyNumberFormat="1" applyFont="1" applyFill="1" applyBorder="1" applyAlignment="1" applyProtection="1">
      <alignment horizontal="left"/>
    </xf>
    <xf numFmtId="169" fontId="23" fillId="0" borderId="5" xfId="546" applyNumberFormat="1" applyFont="1" applyFill="1" applyBorder="1" applyAlignment="1" applyProtection="1">
      <alignment horizontal="center"/>
    </xf>
    <xf numFmtId="0" fontId="2" fillId="0" borderId="7" xfId="546" applyFont="1" applyBorder="1" applyProtection="1"/>
    <xf numFmtId="0" fontId="2" fillId="0" borderId="0" xfId="546" applyFont="1" applyBorder="1" applyProtection="1"/>
    <xf numFmtId="0" fontId="2" fillId="0" borderId="9" xfId="546" applyFont="1" applyBorder="1" applyProtection="1"/>
    <xf numFmtId="0" fontId="2" fillId="0" borderId="10" xfId="546" applyFont="1" applyBorder="1" applyProtection="1"/>
    <xf numFmtId="0" fontId="2" fillId="0" borderId="1" xfId="546" applyFont="1" applyBorder="1" applyProtection="1"/>
    <xf numFmtId="0" fontId="2" fillId="0" borderId="13" xfId="546" applyFont="1" applyBorder="1" applyProtection="1"/>
    <xf numFmtId="0" fontId="2" fillId="0" borderId="2" xfId="546" applyFont="1" applyBorder="1" applyProtection="1"/>
    <xf numFmtId="0" fontId="2" fillId="0" borderId="11" xfId="546" applyFont="1" applyBorder="1" applyProtection="1"/>
    <xf numFmtId="173" fontId="2" fillId="0" borderId="0" xfId="546" applyNumberFormat="1" applyFont="1" applyProtection="1"/>
    <xf numFmtId="173" fontId="2" fillId="0" borderId="0" xfId="546" applyNumberFormat="1" applyFont="1" applyBorder="1" applyAlignment="1" applyProtection="1"/>
    <xf numFmtId="0" fontId="22" fillId="0" borderId="0" xfId="546" applyFont="1" applyAlignment="1" applyProtection="1"/>
    <xf numFmtId="0" fontId="2" fillId="0" borderId="0" xfId="546" applyFont="1" applyFill="1" applyAlignment="1" applyProtection="1">
      <alignment horizontal="center"/>
    </xf>
    <xf numFmtId="0" fontId="11" fillId="0" borderId="0" xfId="0" applyFont="1" applyFill="1" applyProtection="1"/>
    <xf numFmtId="0" fontId="10" fillId="0" borderId="0" xfId="0" applyFont="1" applyFill="1" applyProtection="1"/>
    <xf numFmtId="0" fontId="9" fillId="0" borderId="4" xfId="0" applyFont="1" applyFill="1" applyBorder="1" applyAlignment="1" applyProtection="1">
      <alignment horizontal="right"/>
    </xf>
    <xf numFmtId="0" fontId="9" fillId="0" borderId="8" xfId="0" applyFont="1" applyFill="1" applyBorder="1" applyAlignment="1" applyProtection="1">
      <alignment horizontal="right"/>
    </xf>
    <xf numFmtId="0" fontId="11" fillId="0" borderId="0" xfId="0" applyFont="1" applyAlignment="1" applyProtection="1">
      <alignment horizontal="center"/>
    </xf>
    <xf numFmtId="0" fontId="10" fillId="0" borderId="5" xfId="546" applyFont="1" applyBorder="1" applyAlignment="1" applyProtection="1">
      <alignment vertical="top" wrapText="1"/>
    </xf>
    <xf numFmtId="0" fontId="9" fillId="0" borderId="0" xfId="0" applyFont="1" applyAlignment="1" applyProtection="1">
      <alignment horizontal="left"/>
    </xf>
    <xf numFmtId="0" fontId="11" fillId="0" borderId="0" xfId="0" applyFont="1" applyAlignment="1" applyProtection="1">
      <alignment horizontal="left"/>
    </xf>
    <xf numFmtId="0" fontId="10" fillId="0" borderId="0" xfId="0" applyFont="1" applyFill="1" applyBorder="1" applyAlignment="1" applyProtection="1">
      <alignment vertical="top"/>
    </xf>
    <xf numFmtId="0" fontId="11" fillId="0" borderId="3" xfId="0" applyFont="1" applyFill="1" applyBorder="1" applyProtection="1"/>
    <xf numFmtId="0" fontId="11" fillId="0" borderId="4" xfId="0" applyFont="1" applyFill="1" applyBorder="1" applyProtection="1"/>
    <xf numFmtId="0" fontId="9" fillId="0" borderId="0" xfId="0" applyFont="1" applyAlignment="1" applyProtection="1">
      <alignment horizontal="right"/>
    </xf>
    <xf numFmtId="0" fontId="11" fillId="0" borderId="0" xfId="0" applyFont="1" applyFill="1" applyBorder="1" applyAlignment="1" applyProtection="1">
      <alignment horizontal="right"/>
    </xf>
    <xf numFmtId="0" fontId="11" fillId="0" borderId="0" xfId="0" applyFont="1" applyAlignment="1" applyProtection="1">
      <alignment horizontal="right"/>
    </xf>
    <xf numFmtId="0" fontId="11" fillId="0" borderId="0" xfId="0" applyFont="1" applyFill="1" applyAlignment="1" applyProtection="1">
      <alignment horizontal="center"/>
    </xf>
    <xf numFmtId="0" fontId="10" fillId="0" borderId="0" xfId="0" applyNumberFormat="1" applyFont="1" applyAlignment="1" applyProtection="1">
      <alignment vertical="top" wrapText="1"/>
    </xf>
    <xf numFmtId="0" fontId="9" fillId="0" borderId="0" xfId="0" applyFont="1" applyFill="1" applyBorder="1" applyAlignment="1" applyProtection="1"/>
    <xf numFmtId="0" fontId="10" fillId="0" borderId="0" xfId="0" applyFont="1" applyFill="1" applyBorder="1" applyProtection="1"/>
    <xf numFmtId="0" fontId="25" fillId="0" borderId="0" xfId="0" applyFont="1" applyFill="1" applyBorder="1" applyAlignment="1" applyProtection="1"/>
    <xf numFmtId="0" fontId="26" fillId="0" borderId="0" xfId="0" applyFont="1" applyProtection="1"/>
    <xf numFmtId="0" fontId="10" fillId="0" borderId="3" xfId="0" applyFont="1" applyFill="1" applyBorder="1" applyProtection="1"/>
    <xf numFmtId="0" fontId="10" fillId="0" borderId="4" xfId="0" applyFont="1" applyFill="1" applyBorder="1" applyProtection="1"/>
    <xf numFmtId="164" fontId="0" fillId="0" borderId="4" xfId="0" applyNumberFormat="1" applyFill="1" applyBorder="1" applyAlignment="1" applyProtection="1">
      <alignment horizontal="right"/>
    </xf>
    <xf numFmtId="0" fontId="11" fillId="0" borderId="4" xfId="0" applyFont="1" applyFill="1" applyBorder="1" applyAlignment="1" applyProtection="1"/>
    <xf numFmtId="0" fontId="11" fillId="0" borderId="4" xfId="0" applyFont="1" applyFill="1" applyBorder="1" applyAlignment="1" applyProtection="1">
      <alignment horizontal="right"/>
    </xf>
    <xf numFmtId="0" fontId="11" fillId="0" borderId="0" xfId="0" applyFont="1" applyFill="1" applyBorder="1" applyAlignment="1" applyProtection="1"/>
    <xf numFmtId="0" fontId="10" fillId="0" borderId="0" xfId="0" applyFont="1" applyBorder="1" applyProtection="1"/>
    <xf numFmtId="0" fontId="10" fillId="0" borderId="0" xfId="0" applyFont="1" applyFill="1" applyBorder="1" applyAlignment="1" applyProtection="1">
      <alignment vertical="top" wrapText="1"/>
    </xf>
    <xf numFmtId="0" fontId="10" fillId="0" borderId="0" xfId="0" applyNumberFormat="1" applyFont="1" applyFill="1" applyBorder="1" applyAlignment="1" applyProtection="1">
      <alignment vertical="top"/>
    </xf>
    <xf numFmtId="0" fontId="10" fillId="0" borderId="3" xfId="0" applyFont="1" applyFill="1" applyBorder="1" applyAlignment="1" applyProtection="1">
      <alignment vertical="top" wrapText="1"/>
    </xf>
    <xf numFmtId="0" fontId="10" fillId="0" borderId="4" xfId="0" applyFont="1" applyFill="1" applyBorder="1" applyAlignment="1" applyProtection="1">
      <alignment vertical="top" wrapText="1"/>
    </xf>
    <xf numFmtId="0" fontId="10" fillId="0" borderId="4" xfId="0" applyFont="1" applyFill="1" applyBorder="1" applyAlignment="1" applyProtection="1"/>
    <xf numFmtId="0" fontId="11" fillId="0" borderId="6" xfId="0" applyFont="1" applyFill="1" applyBorder="1" applyAlignment="1" applyProtection="1"/>
    <xf numFmtId="0" fontId="11" fillId="0" borderId="6" xfId="0" applyFont="1" applyFill="1" applyBorder="1" applyAlignment="1" applyProtection="1">
      <alignment horizontal="left" vertical="top"/>
    </xf>
    <xf numFmtId="0" fontId="10" fillId="0" borderId="6" xfId="0" applyFont="1" applyFill="1" applyBorder="1" applyAlignment="1" applyProtection="1">
      <alignment horizontal="left" vertical="top" wrapText="1"/>
    </xf>
    <xf numFmtId="0" fontId="10" fillId="0" borderId="6" xfId="0" applyFont="1" applyBorder="1" applyProtection="1"/>
    <xf numFmtId="0" fontId="10" fillId="0" borderId="6" xfId="0" applyFont="1" applyFill="1" applyBorder="1" applyProtection="1"/>
    <xf numFmtId="0" fontId="11" fillId="0" borderId="0" xfId="0" applyFont="1" applyFill="1" applyBorder="1" applyAlignment="1" applyProtection="1">
      <alignment horizontal="left" vertical="top"/>
    </xf>
    <xf numFmtId="0" fontId="10" fillId="0" borderId="0" xfId="0" applyFont="1" applyFill="1" applyBorder="1" applyAlignment="1" applyProtection="1">
      <alignment horizontal="left" vertical="top" wrapText="1"/>
    </xf>
    <xf numFmtId="0" fontId="9" fillId="0" borderId="0" xfId="0" applyFont="1" applyFill="1" applyBorder="1" applyAlignment="1" applyProtection="1">
      <alignment vertical="top"/>
    </xf>
    <xf numFmtId="0" fontId="21" fillId="0" borderId="0" xfId="0" applyFont="1" applyFill="1" applyBorder="1" applyAlignment="1" applyProtection="1">
      <alignment vertical="top" wrapText="1"/>
    </xf>
    <xf numFmtId="0" fontId="9" fillId="0" borderId="0" xfId="0" applyFont="1" applyFill="1" applyBorder="1" applyAlignment="1" applyProtection="1">
      <alignment horizontal="left" vertical="top" wrapText="1"/>
    </xf>
    <xf numFmtId="0" fontId="21" fillId="0" borderId="0" xfId="0" applyFont="1" applyFill="1" applyBorder="1" applyAlignment="1" applyProtection="1">
      <alignment vertical="top"/>
    </xf>
    <xf numFmtId="0" fontId="9" fillId="0" borderId="0" xfId="0" applyFont="1" applyFill="1" applyBorder="1" applyAlignment="1" applyProtection="1">
      <alignment horizontal="center" vertical="top"/>
    </xf>
    <xf numFmtId="0" fontId="11" fillId="0" borderId="6" xfId="0" applyFont="1" applyFill="1" applyBorder="1" applyAlignment="1" applyProtection="1">
      <alignment horizontal="center"/>
    </xf>
    <xf numFmtId="0" fontId="19" fillId="0" borderId="6" xfId="0" applyFont="1" applyFill="1" applyBorder="1" applyAlignment="1" applyProtection="1"/>
    <xf numFmtId="0" fontId="10" fillId="0" borderId="6" xfId="0" applyFont="1" applyFill="1" applyBorder="1" applyAlignment="1" applyProtection="1"/>
    <xf numFmtId="0" fontId="19" fillId="0" borderId="0" xfId="0" applyFont="1" applyFill="1" applyBorder="1" applyAlignment="1" applyProtection="1">
      <alignment horizontal="right"/>
    </xf>
    <xf numFmtId="0" fontId="26" fillId="0" borderId="0" xfId="0" applyFont="1" applyFill="1" applyBorder="1" applyAlignment="1" applyProtection="1">
      <alignment horizontal="left" vertical="top" wrapText="1"/>
    </xf>
    <xf numFmtId="0" fontId="19" fillId="0" borderId="0" xfId="0" applyFont="1" applyFill="1" applyBorder="1" applyAlignment="1" applyProtection="1">
      <alignment horizontal="left" vertical="top"/>
    </xf>
    <xf numFmtId="0" fontId="10" fillId="0" borderId="0" xfId="0" applyFont="1" applyFill="1" applyBorder="1" applyAlignment="1" applyProtection="1">
      <alignment vertical="top" wrapText="1" shrinkToFit="1"/>
    </xf>
    <xf numFmtId="0" fontId="27" fillId="0" borderId="0" xfId="0" applyFont="1" applyFill="1" applyBorder="1" applyAlignment="1" applyProtection="1"/>
    <xf numFmtId="0" fontId="13" fillId="0" borderId="0" xfId="0" applyFont="1" applyFill="1" applyBorder="1" applyAlignment="1" applyProtection="1"/>
    <xf numFmtId="0" fontId="2" fillId="0" borderId="0" xfId="546" applyFont="1" applyFill="1" applyBorder="1" applyProtection="1"/>
    <xf numFmtId="0" fontId="10" fillId="0" borderId="0" xfId="0" applyFont="1" applyFill="1" applyBorder="1" applyAlignment="1" applyProtection="1">
      <alignment horizontal="left" vertical="top" wrapText="1" shrinkToFit="1"/>
    </xf>
    <xf numFmtId="0" fontId="10" fillId="0" borderId="3" xfId="0" applyFont="1" applyFill="1" applyBorder="1" applyAlignment="1" applyProtection="1"/>
    <xf numFmtId="0" fontId="27" fillId="0" borderId="4" xfId="0" applyFont="1" applyFill="1" applyBorder="1" applyAlignment="1" applyProtection="1"/>
    <xf numFmtId="0" fontId="10" fillId="0" borderId="4" xfId="0" applyFont="1" applyFill="1" applyBorder="1" applyAlignment="1" applyProtection="1">
      <alignment horizontal="left" vertical="top" wrapText="1" shrinkToFit="1"/>
    </xf>
    <xf numFmtId="0" fontId="10" fillId="0" borderId="3" xfId="0" applyFont="1" applyFill="1" applyBorder="1" applyAlignment="1" applyProtection="1">
      <alignment horizontal="center"/>
    </xf>
    <xf numFmtId="0" fontId="10" fillId="0" borderId="0" xfId="0" applyFont="1" applyFill="1" applyBorder="1" applyAlignment="1" applyProtection="1">
      <alignment horizontal="center"/>
    </xf>
    <xf numFmtId="0" fontId="13" fillId="0" borderId="0" xfId="0" applyFont="1" applyFill="1" applyBorder="1" applyAlignment="1" applyProtection="1">
      <alignment horizontal="left" vertical="top"/>
    </xf>
    <xf numFmtId="0" fontId="10" fillId="0" borderId="0" xfId="0" applyFont="1" applyFill="1" applyBorder="1" applyAlignment="1" applyProtection="1">
      <alignment horizontal="left" vertical="top" shrinkToFit="1"/>
    </xf>
    <xf numFmtId="0" fontId="13" fillId="0" borderId="4" xfId="0" applyFont="1" applyFill="1" applyBorder="1" applyProtection="1"/>
    <xf numFmtId="0" fontId="10" fillId="0" borderId="4" xfId="0" applyFont="1" applyFill="1" applyBorder="1" applyAlignment="1" applyProtection="1">
      <alignment horizontal="left" vertical="top" shrinkToFit="1"/>
    </xf>
    <xf numFmtId="0" fontId="19" fillId="0" borderId="0" xfId="0" applyFont="1" applyAlignment="1" applyProtection="1">
      <alignment horizontal="right"/>
    </xf>
    <xf numFmtId="0" fontId="10" fillId="0" borderId="4" xfId="0" applyFont="1" applyFill="1" applyBorder="1" applyAlignment="1" applyProtection="1">
      <alignment horizontal="left" vertical="top"/>
    </xf>
    <xf numFmtId="0" fontId="28" fillId="0" borderId="0" xfId="0" applyFont="1" applyFill="1" applyBorder="1" applyAlignment="1" applyProtection="1"/>
    <xf numFmtId="0" fontId="19" fillId="0" borderId="0" xfId="0" applyFont="1" applyFill="1" applyBorder="1" applyProtection="1"/>
    <xf numFmtId="0" fontId="13" fillId="0" borderId="0" xfId="0" applyFont="1" applyFill="1" applyProtection="1"/>
    <xf numFmtId="0" fontId="19" fillId="0" borderId="0" xfId="0" applyFont="1" applyProtection="1"/>
    <xf numFmtId="0" fontId="10" fillId="0" borderId="0" xfId="0" quotePrefix="1" applyFont="1" applyFill="1" applyProtection="1"/>
    <xf numFmtId="0" fontId="9" fillId="0" borderId="0" xfId="0" applyFont="1" applyFill="1" applyBorder="1" applyAlignment="1" applyProtection="1">
      <alignment horizontal="left" vertical="top"/>
    </xf>
    <xf numFmtId="0" fontId="32" fillId="0" borderId="0" xfId="0" applyFont="1" applyFill="1" applyBorder="1" applyAlignment="1" applyProtection="1"/>
    <xf numFmtId="0" fontId="13" fillId="0" borderId="0" xfId="0" applyFont="1" applyFill="1" applyBorder="1" applyAlignment="1" applyProtection="1">
      <alignment horizontal="center"/>
    </xf>
    <xf numFmtId="0" fontId="10" fillId="0" borderId="4" xfId="0" applyFont="1" applyFill="1" applyBorder="1" applyAlignment="1" applyProtection="1">
      <alignment horizontal="left" vertical="top" wrapText="1"/>
    </xf>
    <xf numFmtId="0" fontId="32" fillId="0" borderId="0" xfId="0" applyFont="1" applyProtection="1"/>
    <xf numFmtId="0" fontId="26" fillId="0" borderId="0" xfId="0" applyFont="1" applyFill="1" applyProtection="1"/>
    <xf numFmtId="44" fontId="10" fillId="0" borderId="0" xfId="164" applyFont="1" applyFill="1" applyBorder="1" applyAlignment="1" applyProtection="1">
      <alignment horizontal="left" vertical="top" wrapText="1"/>
    </xf>
    <xf numFmtId="44" fontId="10" fillId="0" borderId="4" xfId="164" applyFont="1" applyFill="1" applyBorder="1" applyAlignment="1" applyProtection="1">
      <alignment horizontal="left" vertical="top" wrapText="1"/>
    </xf>
    <xf numFmtId="164" fontId="32" fillId="0" borderId="0" xfId="0" applyNumberFormat="1" applyFont="1" applyFill="1" applyBorder="1" applyAlignment="1" applyProtection="1">
      <alignment horizontal="left"/>
    </xf>
    <xf numFmtId="0" fontId="13" fillId="0" borderId="0" xfId="0" applyFont="1" applyFill="1" applyBorder="1" applyAlignment="1" applyProtection="1">
      <alignment horizontal="left"/>
    </xf>
    <xf numFmtId="0" fontId="9" fillId="0" borderId="4" xfId="0" applyFont="1" applyFill="1" applyBorder="1" applyAlignment="1" applyProtection="1">
      <alignment horizontal="center" vertical="top"/>
    </xf>
    <xf numFmtId="0" fontId="26" fillId="0" borderId="0" xfId="0" applyFont="1" applyFill="1" applyBorder="1" applyAlignment="1" applyProtection="1">
      <alignment horizontal="left" vertical="top"/>
    </xf>
    <xf numFmtId="0" fontId="11" fillId="0" borderId="4" xfId="0" applyFont="1" applyFill="1" applyBorder="1" applyAlignment="1" applyProtection="1">
      <alignment horizontal="left" vertical="top"/>
    </xf>
    <xf numFmtId="0" fontId="26" fillId="0" borderId="4" xfId="0" applyFont="1" applyFill="1" applyBorder="1" applyAlignment="1" applyProtection="1">
      <alignment horizontal="left" vertical="top"/>
    </xf>
    <xf numFmtId="0" fontId="10" fillId="0" borderId="6" xfId="0" applyFont="1" applyFill="1" applyBorder="1" applyAlignment="1" applyProtection="1">
      <alignment horizontal="left" vertical="top"/>
    </xf>
    <xf numFmtId="0" fontId="11" fillId="0" borderId="0" xfId="0" applyFont="1" applyAlignment="1" applyProtection="1">
      <alignment horizontal="left" vertical="top"/>
    </xf>
    <xf numFmtId="0" fontId="2" fillId="0" borderId="14" xfId="546" applyFont="1" applyBorder="1" applyProtection="1"/>
    <xf numFmtId="0" fontId="2" fillId="0" borderId="6" xfId="546" applyFont="1" applyBorder="1" applyProtection="1"/>
    <xf numFmtId="0" fontId="10" fillId="0" borderId="0" xfId="0" applyFont="1" applyFill="1" applyBorder="1" applyAlignment="1" applyProtection="1">
      <alignment horizontal="center" vertical="top"/>
    </xf>
    <xf numFmtId="16" fontId="0" fillId="0" borderId="3" xfId="0" applyNumberFormat="1" applyBorder="1" applyProtection="1"/>
    <xf numFmtId="0" fontId="0" fillId="2" borderId="1" xfId="0" applyFill="1" applyBorder="1" applyProtection="1"/>
    <xf numFmtId="0" fontId="0" fillId="2" borderId="2" xfId="0" applyFill="1" applyBorder="1" applyProtection="1"/>
    <xf numFmtId="0" fontId="0" fillId="2" borderId="11" xfId="0" applyFill="1" applyBorder="1" applyProtection="1"/>
    <xf numFmtId="0" fontId="0" fillId="2" borderId="7" xfId="0" applyFill="1" applyBorder="1" applyProtection="1"/>
    <xf numFmtId="0" fontId="0" fillId="2" borderId="0" xfId="0" applyFill="1" applyBorder="1" applyProtection="1"/>
    <xf numFmtId="0" fontId="0" fillId="2" borderId="9" xfId="0" applyFill="1" applyBorder="1" applyProtection="1"/>
    <xf numFmtId="0" fontId="0" fillId="2" borderId="5" xfId="0" applyFill="1" applyBorder="1" applyProtection="1"/>
    <xf numFmtId="0" fontId="0" fillId="2" borderId="10" xfId="0" applyFill="1" applyBorder="1" applyProtection="1"/>
    <xf numFmtId="0" fontId="0" fillId="3" borderId="3" xfId="0" applyFill="1" applyBorder="1" applyProtection="1"/>
    <xf numFmtId="0" fontId="0" fillId="3" borderId="4" xfId="0" applyFill="1" applyBorder="1" applyProtection="1"/>
    <xf numFmtId="0" fontId="0" fillId="3" borderId="8" xfId="0" applyFill="1" applyBorder="1" applyProtection="1"/>
    <xf numFmtId="0" fontId="0" fillId="2" borderId="13" xfId="0" applyFill="1" applyBorder="1" applyProtection="1"/>
    <xf numFmtId="0" fontId="0" fillId="2" borderId="5" xfId="0" applyFill="1" applyBorder="1" applyAlignment="1" applyProtection="1">
      <alignment horizontal="right"/>
    </xf>
    <xf numFmtId="0" fontId="0" fillId="0" borderId="0" xfId="0" applyAlignment="1" applyProtection="1">
      <alignment horizontal="right"/>
    </xf>
    <xf numFmtId="0" fontId="35" fillId="0" borderId="0" xfId="0" applyFont="1" applyProtection="1"/>
    <xf numFmtId="0" fontId="19" fillId="0" borderId="12" xfId="0" applyNumberFormat="1" applyFont="1" applyFill="1" applyBorder="1" applyAlignment="1" applyProtection="1">
      <alignment horizontal="center"/>
    </xf>
    <xf numFmtId="166" fontId="10" fillId="2" borderId="12" xfId="0" applyNumberFormat="1" applyFont="1" applyFill="1" applyBorder="1" applyAlignment="1" applyProtection="1">
      <alignment horizontal="center"/>
    </xf>
    <xf numFmtId="1" fontId="10" fillId="2" borderId="12" xfId="0" applyNumberFormat="1" applyFont="1" applyFill="1" applyBorder="1" applyAlignment="1" applyProtection="1">
      <alignment horizontal="center"/>
    </xf>
    <xf numFmtId="164" fontId="10" fillId="0" borderId="0" xfId="0" applyNumberFormat="1" applyFont="1" applyFill="1" applyBorder="1" applyAlignment="1" applyProtection="1">
      <alignment horizontal="left" vertical="top"/>
    </xf>
    <xf numFmtId="164" fontId="10" fillId="0" borderId="0" xfId="0" applyNumberFormat="1" applyFont="1" applyFill="1" applyBorder="1" applyAlignment="1" applyProtection="1">
      <alignment vertical="top" wrapText="1"/>
    </xf>
    <xf numFmtId="164" fontId="10" fillId="0" borderId="0" xfId="0" applyNumberFormat="1" applyFont="1" applyFill="1" applyBorder="1" applyAlignment="1" applyProtection="1">
      <alignment horizontal="right"/>
    </xf>
    <xf numFmtId="164" fontId="10" fillId="0" borderId="0" xfId="0" applyNumberFormat="1" applyFont="1" applyFill="1" applyBorder="1" applyAlignment="1" applyProtection="1">
      <alignment vertical="top"/>
    </xf>
    <xf numFmtId="2" fontId="10" fillId="0" borderId="0" xfId="0" applyNumberFormat="1" applyFont="1" applyFill="1" applyBorder="1" applyAlignment="1" applyProtection="1">
      <alignment horizontal="right"/>
    </xf>
    <xf numFmtId="2" fontId="10" fillId="0" borderId="0" xfId="0" applyNumberFormat="1" applyFont="1" applyBorder="1" applyAlignment="1" applyProtection="1">
      <alignment horizontal="right"/>
    </xf>
    <xf numFmtId="0" fontId="11" fillId="0" borderId="0" xfId="0" applyFont="1" applyBorder="1" applyAlignment="1" applyProtection="1"/>
    <xf numFmtId="0" fontId="19" fillId="0" borderId="0" xfId="0" applyFont="1" applyFill="1" applyBorder="1" applyAlignment="1" applyProtection="1">
      <alignment horizontal="center"/>
    </xf>
    <xf numFmtId="0" fontId="10" fillId="0" borderId="3" xfId="0" applyFont="1" applyBorder="1" applyProtection="1"/>
    <xf numFmtId="0" fontId="10" fillId="0" borderId="4" xfId="0" applyFont="1" applyBorder="1" applyProtection="1"/>
    <xf numFmtId="0" fontId="9" fillId="0" borderId="4" xfId="0" applyFont="1" applyFill="1" applyBorder="1" applyAlignment="1" applyProtection="1"/>
    <xf numFmtId="0" fontId="10" fillId="0" borderId="8" xfId="0" applyFont="1" applyBorder="1" applyProtection="1"/>
    <xf numFmtId="0" fontId="10" fillId="0" borderId="5" xfId="0" applyFont="1" applyBorder="1" applyProtection="1"/>
    <xf numFmtId="0" fontId="9" fillId="0" borderId="5" xfId="0" applyFont="1" applyBorder="1" applyAlignment="1" applyProtection="1">
      <alignment horizontal="right"/>
    </xf>
    <xf numFmtId="0" fontId="10" fillId="0" borderId="10" xfId="0" applyFont="1" applyBorder="1" applyProtection="1"/>
    <xf numFmtId="0" fontId="11" fillId="0" borderId="4" xfId="0" applyFont="1" applyBorder="1" applyProtection="1"/>
    <xf numFmtId="1" fontId="10" fillId="0" borderId="0" xfId="0" applyNumberFormat="1" applyFont="1" applyFill="1" applyBorder="1" applyAlignment="1" applyProtection="1">
      <alignment horizontal="right"/>
    </xf>
    <xf numFmtId="0" fontId="10" fillId="4" borderId="0" xfId="0" applyFont="1" applyFill="1" applyBorder="1" applyAlignment="1" applyProtection="1">
      <alignment horizontal="center"/>
    </xf>
    <xf numFmtId="0" fontId="10" fillId="0" borderId="0" xfId="0" applyNumberFormat="1" applyFont="1" applyFill="1" applyBorder="1" applyAlignment="1" applyProtection="1"/>
    <xf numFmtId="164" fontId="9" fillId="0" borderId="0" xfId="0" applyNumberFormat="1" applyFont="1" applyFill="1" applyBorder="1" applyAlignment="1" applyProtection="1">
      <alignment horizontal="left"/>
    </xf>
    <xf numFmtId="164" fontId="10" fillId="0" borderId="0" xfId="0" applyNumberFormat="1" applyFont="1" applyFill="1" applyBorder="1" applyAlignment="1" applyProtection="1">
      <alignment horizontal="left" vertical="top" wrapText="1"/>
    </xf>
    <xf numFmtId="0" fontId="10" fillId="0" borderId="0" xfId="0" applyFont="1" applyFill="1" applyBorder="1" applyAlignment="1" applyProtection="1">
      <alignment wrapText="1"/>
    </xf>
    <xf numFmtId="0" fontId="2" fillId="0" borderId="3" xfId="546" applyFont="1" applyFill="1" applyBorder="1" applyProtection="1"/>
    <xf numFmtId="0" fontId="2" fillId="0" borderId="4" xfId="546" applyFont="1" applyFill="1" applyBorder="1" applyProtection="1"/>
    <xf numFmtId="0" fontId="8" fillId="0" borderId="0" xfId="0" applyFont="1" applyFill="1" applyBorder="1" applyAlignment="1" applyProtection="1">
      <alignment horizontal="center" vertical="center"/>
    </xf>
    <xf numFmtId="0" fontId="9" fillId="0" borderId="0" xfId="0" applyFont="1" applyAlignment="1" applyProtection="1">
      <alignment vertical="top"/>
    </xf>
    <xf numFmtId="167" fontId="0" fillId="0" borderId="0" xfId="0" applyNumberFormat="1" applyFill="1" applyBorder="1" applyAlignment="1" applyProtection="1">
      <alignment horizontal="right"/>
    </xf>
    <xf numFmtId="0" fontId="0" fillId="0" borderId="0" xfId="0" applyFill="1" applyBorder="1"/>
    <xf numFmtId="0" fontId="0" fillId="0" borderId="0" xfId="0" applyFill="1" applyBorder="1" applyAlignment="1">
      <alignment horizontal="left" vertical="top"/>
    </xf>
    <xf numFmtId="0" fontId="11" fillId="0" borderId="0" xfId="0" applyFont="1" applyBorder="1" applyAlignment="1" applyProtection="1">
      <alignment horizontal="left"/>
    </xf>
    <xf numFmtId="0" fontId="0" fillId="0" borderId="4" xfId="0" applyFill="1" applyBorder="1" applyProtection="1"/>
    <xf numFmtId="0" fontId="10" fillId="0" borderId="0" xfId="0" applyFont="1" applyAlignment="1">
      <alignment horizontal="left" vertical="top" wrapText="1"/>
    </xf>
    <xf numFmtId="0" fontId="0" fillId="0" borderId="9" xfId="0" applyBorder="1"/>
    <xf numFmtId="0" fontId="0" fillId="0" borderId="5" xfId="0" applyBorder="1"/>
    <xf numFmtId="0" fontId="9" fillId="0" borderId="0" xfId="0" applyFont="1" applyBorder="1" applyAlignment="1">
      <alignment horizontal="right"/>
    </xf>
    <xf numFmtId="169" fontId="0" fillId="0" borderId="0" xfId="0" applyNumberFormat="1" applyFill="1" applyBorder="1" applyAlignment="1">
      <alignment horizontal="center"/>
    </xf>
    <xf numFmtId="0" fontId="22" fillId="0" borderId="0" xfId="0" applyFont="1" applyBorder="1"/>
    <xf numFmtId="0" fontId="11" fillId="0" borderId="0" xfId="0" applyFont="1"/>
    <xf numFmtId="0" fontId="11" fillId="0" borderId="0" xfId="0" applyFont="1" applyBorder="1"/>
    <xf numFmtId="0" fontId="11" fillId="0" borderId="0" xfId="0" applyFont="1" applyFill="1" applyBorder="1" applyAlignment="1">
      <alignment horizontal="left"/>
    </xf>
    <xf numFmtId="0" fontId="11" fillId="0" borderId="0" xfId="0" applyFont="1" applyFill="1" applyBorder="1" applyAlignment="1">
      <alignment horizontal="center"/>
    </xf>
    <xf numFmtId="0" fontId="11" fillId="0" borderId="0" xfId="0" applyFont="1" applyBorder="1" applyAlignment="1">
      <alignment horizontal="left"/>
    </xf>
    <xf numFmtId="0" fontId="11" fillId="0" borderId="0" xfId="0" applyFont="1" applyAlignment="1">
      <alignment horizontal="left"/>
    </xf>
    <xf numFmtId="0" fontId="11" fillId="0" borderId="0" xfId="0" applyFont="1" applyFill="1" applyBorder="1"/>
    <xf numFmtId="0" fontId="2" fillId="0" borderId="0" xfId="0" applyFont="1" applyBorder="1"/>
    <xf numFmtId="0" fontId="21" fillId="0" borderId="0" xfId="0" applyFont="1"/>
    <xf numFmtId="0" fontId="3" fillId="0" borderId="0" xfId="245" applyBorder="1" applyProtection="1"/>
    <xf numFmtId="0" fontId="3" fillId="0" borderId="0" xfId="245" applyFill="1" applyBorder="1" applyAlignment="1">
      <alignment horizontal="center" vertical="center"/>
    </xf>
    <xf numFmtId="49" fontId="10" fillId="0" borderId="0" xfId="0" applyNumberFormat="1" applyFont="1" applyFill="1" applyBorder="1" applyAlignment="1" applyProtection="1">
      <alignment horizontal="left" vertical="top"/>
    </xf>
    <xf numFmtId="0" fontId="3" fillId="0" borderId="0" xfId="245" applyFill="1" applyBorder="1" applyAlignment="1" applyProtection="1">
      <alignment horizontal="left" vertical="top"/>
    </xf>
    <xf numFmtId="0" fontId="3" fillId="0" borderId="0" xfId="245" applyFill="1" applyBorder="1" applyAlignment="1" applyProtection="1">
      <alignment horizontal="left" vertical="top" wrapText="1"/>
    </xf>
    <xf numFmtId="49" fontId="11" fillId="0" borderId="0" xfId="0" applyNumberFormat="1" applyFont="1"/>
    <xf numFmtId="0" fontId="10" fillId="0" borderId="0" xfId="0" quotePrefix="1" applyFont="1" applyFill="1" applyBorder="1" applyAlignment="1" applyProtection="1">
      <alignment horizontal="center" vertical="top"/>
    </xf>
    <xf numFmtId="0" fontId="21" fillId="0" borderId="0" xfId="0" applyFont="1" applyAlignment="1">
      <alignment horizontal="center"/>
    </xf>
    <xf numFmtId="49" fontId="9" fillId="0" borderId="0" xfId="0" applyNumberFormat="1" applyFont="1" applyAlignment="1">
      <alignment horizontal="center"/>
    </xf>
    <xf numFmtId="0" fontId="9" fillId="0" borderId="0" xfId="0" applyFont="1" applyAlignment="1">
      <alignment horizontal="left"/>
    </xf>
    <xf numFmtId="0" fontId="21" fillId="0" borderId="0" xfId="0" applyFont="1" applyAlignment="1">
      <alignment horizontal="left"/>
    </xf>
    <xf numFmtId="0" fontId="11" fillId="0" borderId="0" xfId="0" applyFont="1" applyBorder="1" applyAlignment="1">
      <alignment horizontal="center"/>
    </xf>
    <xf numFmtId="0" fontId="21" fillId="0" borderId="0" xfId="0" applyFont="1" applyBorder="1" applyAlignment="1">
      <alignment horizontal="center"/>
    </xf>
    <xf numFmtId="0" fontId="2" fillId="0" borderId="3" xfId="546" applyFont="1" applyBorder="1" applyProtection="1"/>
    <xf numFmtId="0" fontId="11" fillId="0" borderId="5" xfId="0" applyFont="1" applyBorder="1" applyProtection="1"/>
    <xf numFmtId="1" fontId="10" fillId="0" borderId="0" xfId="0" applyNumberFormat="1" applyFont="1" applyFill="1" applyBorder="1" applyAlignment="1" applyProtection="1">
      <alignment horizontal="center" vertical="top"/>
    </xf>
    <xf numFmtId="0" fontId="11" fillId="0" borderId="2" xfId="0" applyFont="1" applyBorder="1" applyProtection="1"/>
    <xf numFmtId="0" fontId="11" fillId="0" borderId="11" xfId="0" applyFont="1" applyBorder="1" applyProtection="1"/>
    <xf numFmtId="0" fontId="11" fillId="0" borderId="13" xfId="0" applyFont="1" applyBorder="1" applyProtection="1"/>
    <xf numFmtId="0" fontId="11" fillId="0" borderId="9" xfId="0" applyFont="1" applyBorder="1" applyProtection="1"/>
    <xf numFmtId="0" fontId="11" fillId="0" borderId="10" xfId="0" applyFont="1" applyBorder="1" applyProtection="1"/>
    <xf numFmtId="0" fontId="16" fillId="0" borderId="5" xfId="0" applyFont="1" applyBorder="1" applyAlignment="1" applyProtection="1">
      <alignment vertical="top" wrapText="1"/>
    </xf>
    <xf numFmtId="0" fontId="16" fillId="0" borderId="8" xfId="0" applyFont="1" applyBorder="1" applyAlignment="1" applyProtection="1">
      <alignment vertical="top" wrapText="1"/>
    </xf>
    <xf numFmtId="0" fontId="16" fillId="0" borderId="4" xfId="0" applyFont="1" applyBorder="1" applyAlignment="1" applyProtection="1">
      <alignment vertical="top" wrapText="1"/>
    </xf>
    <xf numFmtId="0" fontId="16" fillId="2" borderId="5" xfId="0" applyFont="1" applyFill="1" applyBorder="1" applyAlignment="1" applyProtection="1">
      <alignment vertical="top" wrapText="1"/>
    </xf>
    <xf numFmtId="0" fontId="0" fillId="0" borderId="0" xfId="0" applyBorder="1" applyAlignment="1">
      <alignment vertical="top" wrapText="1"/>
    </xf>
    <xf numFmtId="0" fontId="0" fillId="0" borderId="7" xfId="0" applyBorder="1" applyProtection="1"/>
    <xf numFmtId="0" fontId="9" fillId="0" borderId="2" xfId="0" applyFont="1" applyBorder="1" applyProtection="1"/>
    <xf numFmtId="1" fontId="2" fillId="0" borderId="0" xfId="546" applyNumberFormat="1" applyFont="1" applyAlignment="1" applyProtection="1"/>
    <xf numFmtId="0" fontId="9" fillId="0" borderId="0" xfId="0" applyFont="1" applyAlignment="1">
      <alignment horizontal="center"/>
    </xf>
    <xf numFmtId="0" fontId="11" fillId="0" borderId="0" xfId="0" applyFont="1" applyAlignment="1">
      <alignment horizontal="left" indent="4"/>
    </xf>
    <xf numFmtId="49" fontId="11" fillId="0" borderId="0" xfId="0" applyNumberFormat="1" applyFont="1" applyAlignment="1">
      <alignment horizontal="center"/>
    </xf>
    <xf numFmtId="0" fontId="11" fillId="0" borderId="0" xfId="0" applyFont="1" applyAlignment="1" applyProtection="1">
      <alignment vertical="top"/>
    </xf>
    <xf numFmtId="0" fontId="11" fillId="0" borderId="0" xfId="0" applyFont="1" applyAlignment="1" applyProtection="1">
      <alignment vertical="top" wrapText="1"/>
    </xf>
    <xf numFmtId="0" fontId="11" fillId="0" borderId="0" xfId="0" applyNumberFormat="1" applyFont="1" applyAlignment="1" applyProtection="1">
      <alignment horizontal="left" vertical="top"/>
    </xf>
    <xf numFmtId="0" fontId="2" fillId="0" borderId="0" xfId="0" applyFont="1" applyBorder="1" applyProtection="1"/>
    <xf numFmtId="0" fontId="2" fillId="0" borderId="0" xfId="0" applyFont="1" applyAlignment="1" applyProtection="1"/>
    <xf numFmtId="0" fontId="2" fillId="0" borderId="0" xfId="0" applyFont="1" applyAlignment="1" applyProtection="1">
      <alignment horizontal="left" vertical="top" wrapText="1"/>
    </xf>
    <xf numFmtId="0" fontId="11" fillId="0" borderId="0" xfId="0" applyFont="1" applyFill="1"/>
    <xf numFmtId="0" fontId="9" fillId="0" borderId="0" xfId="0" applyFont="1" applyFill="1"/>
    <xf numFmtId="49" fontId="10" fillId="0" borderId="0" xfId="0" applyNumberFormat="1" applyFont="1" applyFill="1" applyBorder="1" applyAlignment="1" applyProtection="1">
      <alignment vertical="top"/>
    </xf>
    <xf numFmtId="0" fontId="11" fillId="0" borderId="0" xfId="0" quotePrefix="1" applyFont="1" applyAlignment="1">
      <alignment horizontal="left"/>
    </xf>
    <xf numFmtId="0" fontId="11" fillId="0" borderId="0" xfId="0" quotePrefix="1" applyFont="1"/>
    <xf numFmtId="0" fontId="2" fillId="0" borderId="3" xfId="0" applyFont="1" applyBorder="1" applyProtection="1"/>
    <xf numFmtId="0" fontId="2" fillId="0" borderId="8" xfId="0" applyFont="1" applyBorder="1" applyProtection="1"/>
    <xf numFmtId="0" fontId="0" fillId="0" borderId="11" xfId="0" applyBorder="1"/>
    <xf numFmtId="0" fontId="0" fillId="0" borderId="7" xfId="0" applyBorder="1"/>
    <xf numFmtId="0" fontId="0" fillId="0" borderId="13" xfId="0" applyBorder="1"/>
    <xf numFmtId="0" fontId="0" fillId="0" borderId="10" xfId="0" applyBorder="1"/>
    <xf numFmtId="164" fontId="10" fillId="0" borderId="1" xfId="0" applyNumberFormat="1" applyFont="1" applyFill="1" applyBorder="1" applyAlignment="1" applyProtection="1">
      <alignment vertical="top"/>
    </xf>
    <xf numFmtId="164" fontId="10" fillId="0" borderId="2" xfId="0" applyNumberFormat="1" applyFont="1" applyFill="1" applyBorder="1" applyAlignment="1" applyProtection="1">
      <alignment vertical="top"/>
    </xf>
    <xf numFmtId="0" fontId="10" fillId="0" borderId="2" xfId="0" applyFont="1" applyBorder="1" applyProtection="1"/>
    <xf numFmtId="0" fontId="10" fillId="0" borderId="2" xfId="0" applyFont="1" applyFill="1" applyBorder="1" applyProtection="1"/>
    <xf numFmtId="0" fontId="10" fillId="0" borderId="11" xfId="0" applyFont="1" applyFill="1" applyBorder="1" applyProtection="1"/>
    <xf numFmtId="164" fontId="10" fillId="0" borderId="7" xfId="0" applyNumberFormat="1" applyFont="1" applyFill="1" applyBorder="1" applyAlignment="1" applyProtection="1">
      <alignment horizontal="left" vertical="top"/>
    </xf>
    <xf numFmtId="0" fontId="9" fillId="0" borderId="13" xfId="0" applyFont="1" applyFill="1" applyBorder="1" applyAlignment="1" applyProtection="1">
      <alignment horizontal="center"/>
    </xf>
    <xf numFmtId="164" fontId="10" fillId="0" borderId="9" xfId="0" applyNumberFormat="1" applyFont="1" applyFill="1" applyBorder="1" applyAlignment="1" applyProtection="1">
      <alignment horizontal="left" vertical="top"/>
    </xf>
    <xf numFmtId="164" fontId="10" fillId="0" borderId="5" xfId="0" applyNumberFormat="1" applyFont="1" applyFill="1" applyBorder="1" applyAlignment="1" applyProtection="1">
      <alignment horizontal="left" vertical="top"/>
    </xf>
    <xf numFmtId="164" fontId="19" fillId="0" borderId="0" xfId="0" applyNumberFormat="1" applyFont="1" applyFill="1" applyBorder="1" applyAlignment="1" applyProtection="1">
      <alignment horizontal="left" vertical="top"/>
    </xf>
    <xf numFmtId="1" fontId="10" fillId="0" borderId="0" xfId="0" quotePrefix="1" applyNumberFormat="1" applyFont="1" applyFill="1" applyBorder="1" applyAlignment="1" applyProtection="1">
      <alignment horizontal="center" vertical="top"/>
    </xf>
    <xf numFmtId="0" fontId="0" fillId="0" borderId="5" xfId="0" applyBorder="1" applyAlignment="1" applyProtection="1">
      <alignment horizontal="right"/>
    </xf>
    <xf numFmtId="0" fontId="16" fillId="5" borderId="4" xfId="0" applyFont="1" applyFill="1" applyBorder="1" applyAlignment="1" applyProtection="1">
      <alignment vertical="top" wrapText="1"/>
    </xf>
    <xf numFmtId="0" fontId="16" fillId="5" borderId="8" xfId="0" applyFont="1" applyFill="1" applyBorder="1" applyAlignment="1" applyProtection="1">
      <alignment vertical="top" wrapText="1"/>
    </xf>
    <xf numFmtId="0" fontId="9" fillId="0" borderId="9" xfId="0" applyFont="1" applyFill="1" applyBorder="1" applyAlignment="1" applyProtection="1">
      <alignment horizontal="left"/>
    </xf>
    <xf numFmtId="49" fontId="11" fillId="0" borderId="0" xfId="0" applyNumberFormat="1" applyFont="1" applyAlignment="1" applyProtection="1">
      <alignment horizontal="center"/>
    </xf>
    <xf numFmtId="0" fontId="11" fillId="0" borderId="4" xfId="0" applyFont="1" applyBorder="1"/>
    <xf numFmtId="0" fontId="9" fillId="0" borderId="4" xfId="0" applyFont="1" applyFill="1" applyBorder="1"/>
    <xf numFmtId="0" fontId="9" fillId="0" borderId="0" xfId="0" applyFont="1" applyBorder="1"/>
    <xf numFmtId="0" fontId="9" fillId="0" borderId="0" xfId="0" applyFont="1" applyFill="1" applyBorder="1"/>
    <xf numFmtId="0" fontId="9" fillId="0" borderId="2" xfId="0" applyFont="1" applyBorder="1" applyAlignment="1" applyProtection="1">
      <alignment horizontal="center"/>
    </xf>
    <xf numFmtId="0" fontId="46" fillId="0" borderId="3" xfId="0" applyFont="1" applyBorder="1" applyAlignment="1" applyProtection="1">
      <alignment horizontal="left" vertical="top"/>
    </xf>
    <xf numFmtId="0" fontId="46" fillId="0" borderId="15" xfId="0" applyFont="1" applyBorder="1" applyAlignment="1" applyProtection="1">
      <alignment horizontal="center" wrapText="1"/>
    </xf>
    <xf numFmtId="0" fontId="46" fillId="0" borderId="15" xfId="0" applyFont="1" applyFill="1" applyBorder="1" applyAlignment="1" applyProtection="1">
      <alignment horizontal="center" vertical="top" wrapText="1"/>
    </xf>
    <xf numFmtId="0" fontId="46" fillId="2" borderId="15" xfId="0" applyFont="1" applyFill="1" applyBorder="1" applyAlignment="1" applyProtection="1">
      <alignment horizontal="center" wrapText="1"/>
    </xf>
    <xf numFmtId="0" fontId="47" fillId="2" borderId="12" xfId="0" applyFont="1" applyFill="1" applyBorder="1" applyAlignment="1" applyProtection="1">
      <alignment horizontal="left" vertical="top" wrapText="1"/>
    </xf>
    <xf numFmtId="0" fontId="25" fillId="6" borderId="12" xfId="0" applyFont="1" applyFill="1" applyBorder="1" applyAlignment="1" applyProtection="1">
      <alignment vertical="top" wrapText="1"/>
    </xf>
    <xf numFmtId="0" fontId="25" fillId="2" borderId="12" xfId="0" applyFont="1" applyFill="1" applyBorder="1" applyAlignment="1" applyProtection="1">
      <alignment vertical="top" wrapText="1"/>
    </xf>
    <xf numFmtId="0" fontId="25" fillId="0" borderId="12" xfId="0" applyFont="1" applyBorder="1" applyAlignment="1" applyProtection="1">
      <alignment vertical="top" wrapText="1"/>
    </xf>
    <xf numFmtId="0" fontId="25" fillId="0" borderId="12" xfId="0" applyFont="1" applyBorder="1" applyAlignment="1" applyProtection="1">
      <alignment horizontal="right" vertical="top" wrapText="1"/>
    </xf>
    <xf numFmtId="169" fontId="25" fillId="0" borderId="12" xfId="0" applyNumberFormat="1" applyFont="1" applyFill="1" applyBorder="1" applyAlignment="1" applyProtection="1">
      <alignment vertical="top" wrapText="1"/>
    </xf>
    <xf numFmtId="169" fontId="25" fillId="7" borderId="12" xfId="0" applyNumberFormat="1" applyFont="1" applyFill="1" applyBorder="1" applyAlignment="1" applyProtection="1">
      <alignment vertical="top" wrapText="1"/>
      <protection locked="0"/>
    </xf>
    <xf numFmtId="169" fontId="25" fillId="8" borderId="12" xfId="0" applyNumberFormat="1" applyFont="1" applyFill="1" applyBorder="1" applyAlignment="1" applyProtection="1">
      <alignment horizontal="center" vertical="top" wrapText="1"/>
    </xf>
    <xf numFmtId="0" fontId="46" fillId="0" borderId="12" xfId="0" applyFont="1" applyBorder="1" applyAlignment="1" applyProtection="1">
      <alignment horizontal="right" vertical="top" wrapText="1"/>
    </xf>
    <xf numFmtId="169" fontId="46" fillId="0" borderId="12" xfId="0" applyNumberFormat="1" applyFont="1" applyFill="1" applyBorder="1" applyAlignment="1" applyProtection="1">
      <alignment vertical="top" wrapText="1"/>
    </xf>
    <xf numFmtId="169" fontId="25" fillId="6" borderId="12" xfId="0" applyNumberFormat="1" applyFont="1" applyFill="1" applyBorder="1" applyAlignment="1" applyProtection="1">
      <alignment vertical="top" wrapText="1"/>
    </xf>
    <xf numFmtId="0" fontId="25" fillId="7" borderId="12" xfId="0" applyFont="1" applyFill="1" applyBorder="1" applyAlignment="1" applyProtection="1">
      <alignment horizontal="right" vertical="top" wrapText="1"/>
      <protection locked="0"/>
    </xf>
    <xf numFmtId="0" fontId="46" fillId="2" borderId="12" xfId="0" applyFont="1" applyFill="1" applyBorder="1" applyAlignment="1" applyProtection="1">
      <alignment vertical="top" wrapText="1"/>
    </xf>
    <xf numFmtId="0" fontId="46" fillId="0" borderId="12" xfId="0" applyFont="1" applyBorder="1" applyAlignment="1" applyProtection="1">
      <alignment vertical="top" wrapText="1"/>
    </xf>
    <xf numFmtId="0" fontId="5" fillId="0" borderId="12" xfId="0" applyFont="1" applyBorder="1" applyAlignment="1" applyProtection="1">
      <alignment horizontal="right" vertical="top" wrapText="1"/>
    </xf>
    <xf numFmtId="0" fontId="25" fillId="0" borderId="12" xfId="0" applyFont="1" applyFill="1" applyBorder="1" applyAlignment="1" applyProtection="1">
      <alignment horizontal="right" vertical="top" wrapText="1"/>
      <protection locked="0"/>
    </xf>
    <xf numFmtId="0" fontId="46" fillId="0" borderId="0" xfId="0" applyFont="1" applyBorder="1" applyAlignment="1" applyProtection="1">
      <alignment horizontal="left" vertical="top"/>
    </xf>
    <xf numFmtId="0" fontId="25" fillId="0" borderId="0" xfId="0" applyFont="1" applyBorder="1" applyAlignment="1" applyProtection="1">
      <alignment horizontal="left" vertical="top"/>
    </xf>
    <xf numFmtId="0" fontId="25" fillId="0" borderId="0" xfId="0" applyFont="1" applyBorder="1" applyAlignment="1" applyProtection="1">
      <alignment vertical="top" wrapText="1"/>
    </xf>
    <xf numFmtId="0" fontId="25" fillId="0" borderId="0" xfId="0" applyFont="1" applyBorder="1" applyAlignment="1" applyProtection="1">
      <alignment vertical="top"/>
    </xf>
    <xf numFmtId="0" fontId="46" fillId="0" borderId="0" xfId="0" applyFont="1" applyBorder="1" applyAlignment="1" applyProtection="1">
      <alignment horizontal="right" vertical="top"/>
    </xf>
    <xf numFmtId="0" fontId="25" fillId="2" borderId="0" xfId="0" applyFont="1" applyFill="1" applyBorder="1" applyAlignment="1" applyProtection="1">
      <alignment vertical="top" wrapText="1"/>
    </xf>
    <xf numFmtId="0" fontId="46" fillId="0" borderId="0" xfId="0" applyFont="1" applyBorder="1" applyAlignment="1" applyProtection="1">
      <alignment vertical="top"/>
    </xf>
    <xf numFmtId="169" fontId="46" fillId="0" borderId="12" xfId="0" applyNumberFormat="1" applyFont="1" applyBorder="1" applyAlignment="1" applyProtection="1">
      <alignment vertical="top" wrapText="1"/>
    </xf>
    <xf numFmtId="0" fontId="25" fillId="0" borderId="15" xfId="0" applyFont="1" applyBorder="1" applyAlignment="1" applyProtection="1">
      <alignment vertical="top" wrapText="1"/>
    </xf>
    <xf numFmtId="0" fontId="0" fillId="0" borderId="0" xfId="0" applyFill="1" applyBorder="1" applyAlignment="1" applyProtection="1">
      <alignment horizontal="center"/>
    </xf>
    <xf numFmtId="0" fontId="2" fillId="0" borderId="0" xfId="0" applyFont="1" applyFill="1" applyProtection="1"/>
    <xf numFmtId="167" fontId="11" fillId="0" borderId="0" xfId="0" applyNumberFormat="1" applyFont="1" applyFill="1" applyBorder="1" applyAlignment="1" applyProtection="1">
      <alignment horizontal="left"/>
    </xf>
    <xf numFmtId="0" fontId="48" fillId="0" borderId="0" xfId="0" applyFont="1" applyFill="1" applyBorder="1" applyProtection="1"/>
    <xf numFmtId="0" fontId="2" fillId="0" borderId="0" xfId="245" applyFont="1" applyFill="1" applyBorder="1" applyAlignment="1" applyProtection="1">
      <alignment horizontal="left"/>
    </xf>
    <xf numFmtId="0" fontId="0" fillId="0" borderId="0" xfId="0" applyFill="1" applyAlignment="1" applyProtection="1"/>
    <xf numFmtId="0" fontId="38" fillId="0" borderId="0" xfId="0" applyFont="1" applyFill="1" applyAlignment="1" applyProtection="1"/>
    <xf numFmtId="0" fontId="38" fillId="0" borderId="0" xfId="0" applyFont="1" applyFill="1" applyProtection="1"/>
    <xf numFmtId="0" fontId="38" fillId="0" borderId="0" xfId="245" applyFont="1" applyFill="1" applyBorder="1" applyAlignment="1" applyProtection="1">
      <alignment horizontal="left"/>
    </xf>
    <xf numFmtId="0" fontId="8" fillId="5" borderId="12" xfId="0" applyFont="1" applyFill="1" applyBorder="1" applyAlignment="1" applyProtection="1">
      <alignment vertical="top"/>
    </xf>
    <xf numFmtId="173" fontId="9" fillId="0" borderId="0" xfId="546" applyNumberFormat="1" applyFont="1" applyProtection="1"/>
    <xf numFmtId="0" fontId="9" fillId="0" borderId="0" xfId="546" applyFont="1" applyProtection="1"/>
    <xf numFmtId="0" fontId="11" fillId="0" borderId="0" xfId="0" applyFont="1" applyFill="1" applyAlignment="1">
      <alignment horizontal="center"/>
    </xf>
    <xf numFmtId="0" fontId="11" fillId="0" borderId="0" xfId="0" applyFont="1" applyFill="1" applyAlignment="1">
      <alignment horizontal="left"/>
    </xf>
    <xf numFmtId="49" fontId="0" fillId="0" borderId="0" xfId="0" applyNumberFormat="1" applyFill="1"/>
    <xf numFmtId="49" fontId="11" fillId="0" borderId="0" xfId="0" applyNumberFormat="1" applyFont="1" applyFill="1" applyAlignment="1">
      <alignment horizontal="center"/>
    </xf>
    <xf numFmtId="0" fontId="21" fillId="0" borderId="0" xfId="0" applyFont="1" applyFill="1" applyAlignment="1">
      <alignment horizontal="center"/>
    </xf>
    <xf numFmtId="49" fontId="37" fillId="0" borderId="0" xfId="0" applyNumberFormat="1" applyFont="1" applyFill="1" applyBorder="1" applyAlignment="1">
      <alignment horizontal="center"/>
    </xf>
    <xf numFmtId="0" fontId="37" fillId="0" borderId="0" xfId="0" applyFont="1" applyFill="1" applyBorder="1"/>
    <xf numFmtId="0" fontId="0" fillId="0" borderId="0" xfId="0" applyFill="1" applyAlignment="1">
      <alignment horizontal="right"/>
    </xf>
    <xf numFmtId="0" fontId="9" fillId="0" borderId="0" xfId="0" applyFont="1" applyFill="1" applyAlignment="1" applyProtection="1">
      <alignment horizontal="center"/>
    </xf>
    <xf numFmtId="0" fontId="21" fillId="0" borderId="0" xfId="0" applyFont="1" applyFill="1" applyAlignment="1">
      <alignment horizontal="left"/>
    </xf>
    <xf numFmtId="0" fontId="2" fillId="0" borderId="0" xfId="0" applyFont="1" applyFill="1" applyBorder="1" applyAlignment="1" applyProtection="1">
      <alignment horizontal="left"/>
    </xf>
    <xf numFmtId="0" fontId="43" fillId="0" borderId="0" xfId="0" applyFont="1" applyAlignment="1" applyProtection="1">
      <alignment horizontal="center"/>
    </xf>
    <xf numFmtId="0" fontId="21" fillId="0" borderId="0" xfId="0" applyFont="1" applyAlignment="1" applyProtection="1">
      <alignment horizontal="center"/>
    </xf>
    <xf numFmtId="49" fontId="9" fillId="0" borderId="0" xfId="0" applyNumberFormat="1" applyFont="1" applyAlignment="1" applyProtection="1">
      <alignment horizontal="center"/>
    </xf>
    <xf numFmtId="0" fontId="9" fillId="0" borderId="4" xfId="0" applyFont="1" applyBorder="1" applyAlignment="1" applyProtection="1">
      <alignment horizontal="left"/>
    </xf>
    <xf numFmtId="0" fontId="11" fillId="0" borderId="0" xfId="0" applyFont="1" applyBorder="1" applyAlignment="1" applyProtection="1">
      <alignment horizontal="center"/>
    </xf>
    <xf numFmtId="0" fontId="21" fillId="0" borderId="0" xfId="0" applyFont="1" applyBorder="1" applyAlignment="1" applyProtection="1">
      <alignment horizontal="center"/>
    </xf>
    <xf numFmtId="49" fontId="37" fillId="0" borderId="0" xfId="0" applyNumberFormat="1" applyFont="1" applyFill="1" applyBorder="1" applyAlignment="1" applyProtection="1">
      <alignment horizontal="center"/>
    </xf>
    <xf numFmtId="0" fontId="2" fillId="0" borderId="0" xfId="0" applyFont="1" applyFill="1" applyBorder="1" applyAlignment="1" applyProtection="1"/>
    <xf numFmtId="2" fontId="2" fillId="0" borderId="2" xfId="0" applyNumberFormat="1" applyFont="1" applyFill="1" applyBorder="1" applyAlignment="1" applyProtection="1">
      <alignment horizontal="left"/>
    </xf>
    <xf numFmtId="0" fontId="0" fillId="0" borderId="2" xfId="0" applyFill="1" applyBorder="1" applyAlignment="1" applyProtection="1">
      <alignment horizontal="left"/>
    </xf>
    <xf numFmtId="0" fontId="10" fillId="0" borderId="0" xfId="0" applyFont="1" applyFill="1" applyAlignment="1" applyProtection="1"/>
    <xf numFmtId="2" fontId="2" fillId="0" borderId="0" xfId="0" applyNumberFormat="1" applyFont="1" applyFill="1" applyBorder="1" applyAlignment="1" applyProtection="1">
      <alignment horizontal="left"/>
    </xf>
    <xf numFmtId="169" fontId="0" fillId="0" borderId="0" xfId="0" applyNumberFormat="1" applyFill="1" applyBorder="1" applyAlignment="1">
      <alignment horizontal="right"/>
    </xf>
    <xf numFmtId="0" fontId="0" fillId="0" borderId="0" xfId="0" applyBorder="1" applyAlignment="1"/>
    <xf numFmtId="0" fontId="11" fillId="0" borderId="0" xfId="0" applyFont="1" applyFill="1" applyAlignment="1" applyProtection="1">
      <alignment horizontal="left" vertical="top"/>
    </xf>
    <xf numFmtId="0" fontId="10" fillId="0" borderId="0" xfId="0" applyFont="1" applyFill="1" applyAlignment="1" applyProtection="1">
      <alignment horizontal="left" vertical="top"/>
    </xf>
    <xf numFmtId="0" fontId="11" fillId="0" borderId="0" xfId="0" applyNumberFormat="1" applyFont="1" applyFill="1" applyAlignment="1" applyProtection="1">
      <alignment horizontal="left" vertical="top"/>
    </xf>
    <xf numFmtId="0" fontId="21" fillId="0" borderId="0" xfId="0" applyFont="1" applyFill="1" applyAlignment="1" applyProtection="1">
      <alignment horizontal="center"/>
    </xf>
    <xf numFmtId="0" fontId="32" fillId="0" borderId="0" xfId="0" applyFont="1" applyBorder="1"/>
    <xf numFmtId="0" fontId="46" fillId="0" borderId="15" xfId="0" applyFont="1" applyFill="1" applyBorder="1" applyAlignment="1" applyProtection="1">
      <alignment horizontal="center" wrapText="1"/>
    </xf>
    <xf numFmtId="0" fontId="52" fillId="0" borderId="0" xfId="0" applyFont="1" applyAlignment="1">
      <alignment wrapText="1"/>
    </xf>
    <xf numFmtId="0" fontId="52" fillId="0" borderId="0" xfId="0" applyFont="1" applyAlignment="1">
      <alignment horizontal="left" wrapText="1"/>
    </xf>
    <xf numFmtId="0" fontId="10" fillId="0" borderId="0" xfId="0" applyFont="1" applyAlignment="1"/>
    <xf numFmtId="0" fontId="0" fillId="0" borderId="0" xfId="0" applyAlignment="1">
      <alignment vertical="top" wrapText="1"/>
    </xf>
    <xf numFmtId="0" fontId="10" fillId="0" borderId="5" xfId="0" applyFont="1" applyFill="1" applyBorder="1" applyAlignment="1" applyProtection="1">
      <alignment horizontal="right"/>
    </xf>
    <xf numFmtId="0" fontId="10" fillId="0" borderId="1" xfId="0" applyFont="1" applyBorder="1" applyProtection="1"/>
    <xf numFmtId="0" fontId="10" fillId="0" borderId="7" xfId="0" applyFont="1" applyBorder="1" applyProtection="1"/>
    <xf numFmtId="0" fontId="10" fillId="0" borderId="16" xfId="0" applyFont="1" applyBorder="1" applyProtection="1"/>
    <xf numFmtId="0" fontId="9" fillId="0" borderId="16" xfId="0" applyFont="1" applyFill="1" applyBorder="1" applyProtection="1"/>
    <xf numFmtId="0" fontId="10" fillId="0" borderId="16" xfId="0" applyFont="1" applyFill="1" applyBorder="1" applyAlignment="1" applyProtection="1">
      <alignment horizontal="left" vertical="top"/>
    </xf>
    <xf numFmtId="0" fontId="11" fillId="0" borderId="16" xfId="0" applyFont="1" applyFill="1" applyBorder="1" applyAlignment="1" applyProtection="1">
      <alignment horizontal="left" vertical="top"/>
    </xf>
    <xf numFmtId="0" fontId="10" fillId="0" borderId="16" xfId="0" applyFont="1" applyFill="1" applyBorder="1" applyProtection="1"/>
    <xf numFmtId="0" fontId="9" fillId="0" borderId="16" xfId="0" applyFont="1" applyFill="1" applyBorder="1" applyAlignment="1" applyProtection="1">
      <alignment horizontal="right"/>
    </xf>
    <xf numFmtId="0" fontId="11" fillId="0" borderId="16" xfId="0" applyFont="1" applyFill="1" applyBorder="1" applyAlignment="1" applyProtection="1">
      <alignment horizontal="center"/>
    </xf>
    <xf numFmtId="0" fontId="54" fillId="0" borderId="0" xfId="0" applyFont="1" applyBorder="1"/>
    <xf numFmtId="49" fontId="55" fillId="0" borderId="0" xfId="0" applyNumberFormat="1" applyFont="1" applyFill="1" applyBorder="1" applyAlignment="1" applyProtection="1">
      <alignment vertical="center"/>
    </xf>
    <xf numFmtId="0" fontId="7" fillId="0" borderId="0" xfId="0" applyFont="1" applyBorder="1"/>
    <xf numFmtId="0" fontId="7" fillId="0" borderId="0" xfId="0" applyFont="1" applyFill="1" applyBorder="1"/>
    <xf numFmtId="0" fontId="7" fillId="0" borderId="5" xfId="0" applyFont="1" applyBorder="1"/>
    <xf numFmtId="49" fontId="7" fillId="0" borderId="7" xfId="0" applyNumberFormat="1" applyFont="1" applyBorder="1"/>
    <xf numFmtId="0" fontId="7" fillId="0" borderId="15" xfId="0" applyFont="1" applyBorder="1"/>
    <xf numFmtId="49" fontId="56" fillId="0" borderId="3" xfId="0" applyNumberFormat="1" applyFont="1" applyBorder="1"/>
    <xf numFmtId="0" fontId="7" fillId="0" borderId="4" xfId="0" applyFont="1" applyBorder="1"/>
    <xf numFmtId="169" fontId="7" fillId="0" borderId="12" xfId="0" applyNumberFormat="1" applyFont="1" applyBorder="1"/>
    <xf numFmtId="0" fontId="7" fillId="7" borderId="5" xfId="0" applyFont="1" applyFill="1" applyBorder="1" applyProtection="1">
      <protection locked="0"/>
    </xf>
    <xf numFmtId="0" fontId="7" fillId="7" borderId="4" xfId="0" applyFont="1" applyFill="1" applyBorder="1" applyProtection="1">
      <protection locked="0"/>
    </xf>
    <xf numFmtId="0" fontId="7" fillId="7" borderId="17" xfId="0" applyFont="1" applyFill="1" applyBorder="1" applyProtection="1">
      <protection locked="0"/>
    </xf>
    <xf numFmtId="169" fontId="7" fillId="7" borderId="17" xfId="0" applyNumberFormat="1" applyFont="1" applyFill="1" applyBorder="1" applyProtection="1">
      <protection locked="0"/>
    </xf>
    <xf numFmtId="0" fontId="7" fillId="0" borderId="0" xfId="0" applyFont="1" applyBorder="1" applyProtection="1">
      <protection locked="0"/>
    </xf>
    <xf numFmtId="0" fontId="7" fillId="0" borderId="0" xfId="0" applyFont="1" applyBorder="1" applyAlignment="1">
      <alignment horizontal="left" vertical="center" wrapText="1"/>
    </xf>
    <xf numFmtId="0" fontId="7" fillId="0" borderId="0" xfId="0" applyFont="1" applyBorder="1" applyAlignment="1">
      <alignment horizontal="left" vertical="center"/>
    </xf>
    <xf numFmtId="4" fontId="43" fillId="0" borderId="0" xfId="0" applyNumberFormat="1" applyFont="1" applyAlignment="1" applyProtection="1">
      <alignment horizontal="center"/>
    </xf>
    <xf numFmtId="4" fontId="11" fillId="0" borderId="0" xfId="0" applyNumberFormat="1" applyFont="1" applyAlignment="1" applyProtection="1">
      <alignment horizontal="center"/>
    </xf>
    <xf numFmtId="4" fontId="11" fillId="0" borderId="0" xfId="0" applyNumberFormat="1" applyFont="1" applyAlignment="1" applyProtection="1">
      <alignment horizontal="left"/>
    </xf>
    <xf numFmtId="4" fontId="11" fillId="0" borderId="0" xfId="0" applyNumberFormat="1" applyFont="1" applyProtection="1"/>
    <xf numFmtId="169" fontId="11" fillId="0" borderId="0" xfId="0" applyNumberFormat="1" applyFont="1" applyFill="1" applyBorder="1" applyAlignment="1" applyProtection="1">
      <alignment horizontal="center"/>
    </xf>
    <xf numFmtId="0" fontId="0" fillId="0" borderId="0" xfId="0" applyBorder="1" applyAlignment="1">
      <alignment horizontal="center"/>
    </xf>
    <xf numFmtId="0" fontId="25" fillId="2" borderId="10" xfId="0" applyFont="1" applyFill="1" applyBorder="1" applyAlignment="1" applyProtection="1">
      <alignment vertical="top" wrapText="1"/>
    </xf>
    <xf numFmtId="0" fontId="25" fillId="2" borderId="8" xfId="0" applyFont="1" applyFill="1" applyBorder="1" applyAlignment="1" applyProtection="1">
      <alignment vertical="top" wrapText="1"/>
    </xf>
    <xf numFmtId="0" fontId="49" fillId="0" borderId="15" xfId="0" applyFont="1" applyBorder="1" applyAlignment="1" applyProtection="1">
      <alignment vertical="top" wrapText="1"/>
    </xf>
    <xf numFmtId="0" fontId="61" fillId="0" borderId="0" xfId="0" applyFont="1" applyBorder="1" applyAlignment="1" applyProtection="1">
      <alignment horizontal="left" vertical="top"/>
    </xf>
    <xf numFmtId="0" fontId="19" fillId="0" borderId="0" xfId="0" applyFont="1" applyBorder="1" applyProtection="1"/>
    <xf numFmtId="0" fontId="19" fillId="0" borderId="7" xfId="0" applyFont="1" applyBorder="1" applyProtection="1"/>
    <xf numFmtId="0" fontId="54" fillId="0" borderId="0" xfId="0" applyFont="1" applyBorder="1" applyProtection="1">
      <protection locked="0"/>
    </xf>
    <xf numFmtId="0" fontId="11" fillId="0" borderId="0" xfId="0" applyFont="1" applyFill="1" applyBorder="1" applyAlignment="1" applyProtection="1">
      <alignment horizontal="left" vertical="top" wrapText="1"/>
    </xf>
    <xf numFmtId="0" fontId="0" fillId="0" borderId="5" xfId="0" applyBorder="1" applyAlignment="1">
      <alignment vertical="top" wrapText="1"/>
    </xf>
    <xf numFmtId="0" fontId="37" fillId="0" borderId="0" xfId="0" applyFont="1" applyProtection="1"/>
    <xf numFmtId="0" fontId="11" fillId="0" borderId="0" xfId="0" applyFont="1" applyFill="1" applyBorder="1" applyAlignment="1" applyProtection="1">
      <alignment vertical="top" wrapText="1"/>
    </xf>
    <xf numFmtId="0" fontId="60" fillId="0" borderId="12" xfId="0" applyFont="1" applyBorder="1" applyAlignment="1" applyProtection="1">
      <alignment horizontal="right" vertical="top" wrapText="1"/>
    </xf>
    <xf numFmtId="0" fontId="62" fillId="0" borderId="12" xfId="0" applyFont="1" applyBorder="1" applyAlignment="1" applyProtection="1">
      <alignment horizontal="right" vertical="top" wrapText="1"/>
    </xf>
    <xf numFmtId="0" fontId="0" fillId="0" borderId="0" xfId="0" applyAlignment="1">
      <alignment wrapText="1"/>
    </xf>
    <xf numFmtId="0" fontId="11" fillId="0" borderId="0" xfId="0" applyFont="1" applyAlignment="1"/>
    <xf numFmtId="0" fontId="43" fillId="0" borderId="0" xfId="0" applyFont="1" applyAlignment="1" applyProtection="1">
      <alignment horizontal="center" vertical="top"/>
    </xf>
    <xf numFmtId="0" fontId="23" fillId="0" borderId="0" xfId="0" applyFont="1" applyFill="1" applyAlignment="1">
      <alignment vertical="top" wrapText="1"/>
    </xf>
    <xf numFmtId="0" fontId="45" fillId="0" borderId="3" xfId="0" applyFont="1" applyBorder="1" applyProtection="1"/>
    <xf numFmtId="0" fontId="8" fillId="0" borderId="0" xfId="0" applyFont="1" applyFill="1" applyBorder="1" applyAlignment="1" applyProtection="1">
      <alignment horizontal="center" vertical="center" wrapText="1"/>
    </xf>
    <xf numFmtId="0" fontId="46" fillId="0" borderId="4" xfId="0" applyFont="1" applyBorder="1" applyAlignment="1" applyProtection="1">
      <alignment horizontal="right"/>
    </xf>
    <xf numFmtId="169" fontId="22" fillId="0" borderId="0" xfId="0" applyNumberFormat="1" applyFont="1" applyFill="1" applyBorder="1" applyAlignment="1" applyProtection="1">
      <alignment horizontal="left" vertical="top" wrapText="1"/>
    </xf>
    <xf numFmtId="0" fontId="63" fillId="0" borderId="0" xfId="0" applyFont="1"/>
    <xf numFmtId="0" fontId="2" fillId="0" borderId="0" xfId="546" applyNumberFormat="1" applyFont="1" applyProtection="1"/>
    <xf numFmtId="169" fontId="0" fillId="0" borderId="0" xfId="0" applyNumberFormat="1" applyFill="1" applyBorder="1" applyAlignment="1" applyProtection="1">
      <alignment horizontal="center"/>
    </xf>
    <xf numFmtId="0" fontId="2" fillId="0" borderId="0" xfId="0" applyFont="1" applyProtection="1">
      <protection locked="0"/>
    </xf>
    <xf numFmtId="169" fontId="2" fillId="0" borderId="0" xfId="0" applyNumberFormat="1" applyFont="1" applyFill="1" applyBorder="1" applyAlignment="1" applyProtection="1">
      <alignment horizontal="left" vertical="top"/>
    </xf>
    <xf numFmtId="169" fontId="9" fillId="0" borderId="0" xfId="0" applyNumberFormat="1" applyFont="1" applyFill="1" applyBorder="1" applyAlignment="1" applyProtection="1">
      <alignment horizontal="left" vertical="top"/>
    </xf>
    <xf numFmtId="0" fontId="2" fillId="0" borderId="0" xfId="0" applyFont="1" applyFill="1" applyBorder="1" applyAlignment="1" applyProtection="1">
      <alignment horizontal="left" vertical="top"/>
    </xf>
    <xf numFmtId="169" fontId="11" fillId="0" borderId="0" xfId="0" applyNumberFormat="1" applyFont="1" applyFill="1" applyBorder="1" applyAlignment="1" applyProtection="1">
      <alignment horizontal="left" vertical="top"/>
    </xf>
    <xf numFmtId="0" fontId="0" fillId="0" borderId="0" xfId="0" applyFill="1" applyAlignment="1" applyProtection="1">
      <alignment vertical="top"/>
    </xf>
    <xf numFmtId="169" fontId="11" fillId="0" borderId="0" xfId="0" applyNumberFormat="1" applyFont="1" applyFill="1" applyBorder="1" applyAlignment="1" applyProtection="1"/>
    <xf numFmtId="0" fontId="23" fillId="9" borderId="0" xfId="542" applyFont="1" applyFill="1" applyAlignment="1" applyProtection="1">
      <alignment horizontal="centerContinuous"/>
    </xf>
    <xf numFmtId="0" fontId="2" fillId="0" borderId="0" xfId="542" applyProtection="1"/>
    <xf numFmtId="0" fontId="38" fillId="0" borderId="0" xfId="0" applyFont="1" applyProtection="1"/>
    <xf numFmtId="0" fontId="2" fillId="0" borderId="0" xfId="542" applyAlignment="1" applyProtection="1"/>
    <xf numFmtId="0" fontId="11" fillId="0" borderId="0" xfId="0" applyFont="1" applyAlignment="1" applyProtection="1">
      <alignment horizontal="center" vertical="center"/>
    </xf>
    <xf numFmtId="0" fontId="11" fillId="0" borderId="0" xfId="0" applyFont="1" applyAlignment="1">
      <alignment horizontal="center" vertical="center"/>
    </xf>
    <xf numFmtId="169" fontId="23" fillId="0" borderId="0" xfId="546" applyNumberFormat="1" applyFont="1" applyFill="1" applyBorder="1" applyAlignment="1" applyProtection="1">
      <alignment horizontal="left"/>
    </xf>
    <xf numFmtId="169" fontId="23" fillId="0" borderId="0" xfId="546" applyNumberFormat="1" applyFont="1" applyFill="1" applyBorder="1" applyAlignment="1" applyProtection="1">
      <alignment horizontal="center"/>
    </xf>
    <xf numFmtId="0" fontId="7" fillId="0" borderId="0" xfId="0" applyFont="1" applyProtection="1">
      <protection locked="0"/>
    </xf>
    <xf numFmtId="0" fontId="0" fillId="0" borderId="0" xfId="0" applyFill="1" applyAlignment="1">
      <alignment wrapText="1"/>
    </xf>
    <xf numFmtId="1" fontId="11" fillId="0" borderId="0" xfId="0" applyNumberFormat="1" applyFont="1" applyBorder="1" applyAlignment="1" applyProtection="1">
      <alignment horizontal="center"/>
    </xf>
    <xf numFmtId="0" fontId="9" fillId="4" borderId="0" xfId="0" applyFont="1" applyFill="1" applyBorder="1" applyAlignment="1" applyProtection="1">
      <alignment horizontal="center" wrapText="1"/>
    </xf>
    <xf numFmtId="1" fontId="9" fillId="0" borderId="0" xfId="0" applyNumberFormat="1" applyFont="1" applyBorder="1" applyAlignment="1" applyProtection="1">
      <alignment horizontal="left"/>
    </xf>
    <xf numFmtId="0" fontId="9" fillId="0" borderId="9" xfId="0" applyFont="1" applyBorder="1" applyAlignment="1" applyProtection="1">
      <alignment horizontal="center" wrapText="1"/>
    </xf>
    <xf numFmtId="0" fontId="0" fillId="0" borderId="0" xfId="0" applyFill="1" applyAlignment="1">
      <alignment vertical="center"/>
    </xf>
    <xf numFmtId="0" fontId="21" fillId="0" borderId="0" xfId="0" applyFont="1" applyAlignment="1">
      <alignment vertical="top" wrapText="1"/>
    </xf>
    <xf numFmtId="0" fontId="0" fillId="0" borderId="0" xfId="0" applyBorder="1" applyAlignment="1">
      <alignment horizontal="left"/>
    </xf>
    <xf numFmtId="0" fontId="16" fillId="5" borderId="4" xfId="0" applyFont="1" applyFill="1" applyBorder="1" applyAlignment="1" applyProtection="1">
      <alignment vertical="top" wrapText="1"/>
      <protection locked="0"/>
    </xf>
    <xf numFmtId="0" fontId="16" fillId="5" borderId="8" xfId="0" applyFont="1" applyFill="1" applyBorder="1" applyAlignment="1" applyProtection="1">
      <alignment vertical="top" wrapText="1"/>
      <protection locked="0"/>
    </xf>
    <xf numFmtId="0" fontId="9" fillId="0" borderId="15" xfId="0" applyFont="1" applyBorder="1" applyAlignment="1" applyProtection="1">
      <alignment horizontal="center" wrapText="1"/>
    </xf>
    <xf numFmtId="0" fontId="39" fillId="2" borderId="12" xfId="0" applyFont="1" applyFill="1" applyBorder="1" applyAlignment="1" applyProtection="1">
      <alignment horizontal="left" vertical="top" wrapText="1"/>
    </xf>
    <xf numFmtId="0" fontId="11" fillId="0" borderId="12" xfId="0" applyFont="1" applyBorder="1" applyAlignment="1" applyProtection="1">
      <alignment vertical="top" wrapText="1"/>
      <protection locked="0"/>
    </xf>
    <xf numFmtId="169" fontId="11" fillId="7" borderId="12" xfId="0" applyNumberFormat="1" applyFont="1" applyFill="1" applyBorder="1" applyAlignment="1" applyProtection="1">
      <alignment vertical="top" wrapText="1"/>
      <protection locked="0"/>
    </xf>
    <xf numFmtId="0" fontId="11" fillId="7" borderId="12" xfId="0" applyFont="1" applyFill="1" applyBorder="1" applyAlignment="1" applyProtection="1">
      <alignment vertical="top" wrapText="1"/>
      <protection locked="0"/>
    </xf>
    <xf numFmtId="169" fontId="11" fillId="0" borderId="12" xfId="0" applyNumberFormat="1" applyFont="1" applyFill="1" applyBorder="1" applyAlignment="1" applyProtection="1">
      <alignment vertical="top" wrapText="1"/>
    </xf>
    <xf numFmtId="0" fontId="9" fillId="0" borderId="12" xfId="0" applyFont="1" applyBorder="1" applyAlignment="1" applyProtection="1">
      <alignment horizontal="right" vertical="top" wrapText="1"/>
    </xf>
    <xf numFmtId="0" fontId="16" fillId="0" borderId="0" xfId="0" applyFont="1" applyBorder="1" applyAlignment="1" applyProtection="1">
      <alignment horizontal="right" vertical="top" wrapText="1"/>
      <protection locked="0"/>
    </xf>
    <xf numFmtId="0" fontId="16" fillId="0" borderId="0" xfId="0" applyFont="1" applyBorder="1" applyAlignment="1" applyProtection="1">
      <alignment vertical="top" wrapText="1"/>
      <protection locked="0"/>
    </xf>
    <xf numFmtId="0" fontId="11" fillId="0" borderId="8" xfId="0" applyFont="1" applyBorder="1" applyAlignment="1" applyProtection="1">
      <alignment vertical="top" wrapText="1"/>
      <protection locked="0"/>
    </xf>
    <xf numFmtId="0" fontId="9" fillId="0" borderId="3" xfId="0" applyFont="1" applyBorder="1" applyAlignment="1" applyProtection="1">
      <alignment horizontal="left" vertical="top"/>
    </xf>
    <xf numFmtId="0" fontId="11" fillId="0" borderId="4" xfId="0" applyFont="1" applyBorder="1" applyAlignment="1" applyProtection="1">
      <alignment horizontal="left" vertical="top"/>
      <protection locked="0"/>
    </xf>
    <xf numFmtId="0" fontId="11" fillId="0" borderId="4" xfId="0" applyFont="1" applyBorder="1" applyAlignment="1" applyProtection="1">
      <alignment vertical="top" wrapText="1"/>
      <protection locked="0"/>
    </xf>
    <xf numFmtId="0" fontId="0" fillId="0" borderId="0" xfId="0" applyProtection="1">
      <protection locked="0"/>
    </xf>
    <xf numFmtId="0" fontId="10" fillId="0" borderId="0" xfId="0" applyFont="1" applyAlignment="1">
      <alignment vertical="top" wrapText="1"/>
    </xf>
    <xf numFmtId="1" fontId="11" fillId="0" borderId="0" xfId="0" applyNumberFormat="1" applyFont="1" applyProtection="1"/>
    <xf numFmtId="0" fontId="11" fillId="0" borderId="0" xfId="0" applyNumberFormat="1" applyFont="1" applyAlignment="1" applyProtection="1">
      <alignment horizontal="center"/>
    </xf>
    <xf numFmtId="0" fontId="9" fillId="0" borderId="0" xfId="0" applyFont="1" applyFill="1" applyAlignment="1" applyProtection="1">
      <alignment horizontal="left"/>
    </xf>
    <xf numFmtId="0" fontId="10" fillId="0" borderId="0" xfId="0" applyFont="1" applyFill="1" applyBorder="1" applyAlignment="1" applyProtection="1">
      <alignment horizontal="left" vertical="center" wrapText="1"/>
    </xf>
    <xf numFmtId="0" fontId="10" fillId="0" borderId="0" xfId="0" applyFont="1" applyFill="1" applyBorder="1" applyAlignment="1" applyProtection="1">
      <alignment vertical="center"/>
    </xf>
    <xf numFmtId="0" fontId="10" fillId="0" borderId="0" xfId="0" applyFont="1" applyFill="1" applyBorder="1" applyAlignment="1" applyProtection="1">
      <alignment vertical="center" wrapText="1"/>
    </xf>
    <xf numFmtId="0" fontId="10" fillId="0" borderId="0" xfId="0" applyFont="1" applyFill="1" applyBorder="1" applyAlignment="1" applyProtection="1">
      <alignment horizontal="left" vertical="center"/>
    </xf>
    <xf numFmtId="0" fontId="10" fillId="0" borderId="0" xfId="0" applyFont="1" applyAlignment="1" applyProtection="1">
      <alignment vertical="center"/>
    </xf>
    <xf numFmtId="0" fontId="51" fillId="0" borderId="0" xfId="0" applyFont="1" applyProtection="1"/>
    <xf numFmtId="0" fontId="19" fillId="0" borderId="0" xfId="0" applyFont="1" applyAlignment="1">
      <alignment vertical="top"/>
    </xf>
    <xf numFmtId="0" fontId="10" fillId="0" borderId="0" xfId="0" applyFont="1" applyAlignment="1">
      <alignment vertical="center"/>
    </xf>
    <xf numFmtId="0" fontId="19" fillId="0" borderId="0" xfId="0" applyFont="1" applyAlignment="1">
      <alignment vertical="center"/>
    </xf>
    <xf numFmtId="0" fontId="10" fillId="0" borderId="0" xfId="0" applyNumberFormat="1" applyFont="1" applyAlignment="1">
      <alignment vertical="top" wrapText="1"/>
    </xf>
    <xf numFmtId="0" fontId="19" fillId="0" borderId="0" xfId="0" applyNumberFormat="1" applyFont="1" applyAlignment="1">
      <alignment vertical="top"/>
    </xf>
    <xf numFmtId="0" fontId="19" fillId="0" borderId="0" xfId="0" applyFont="1" applyAlignment="1" applyProtection="1">
      <alignment horizontal="center"/>
    </xf>
    <xf numFmtId="0" fontId="9" fillId="0" borderId="0" xfId="0" applyFont="1" applyFill="1" applyProtection="1"/>
    <xf numFmtId="0" fontId="21" fillId="0" borderId="0" xfId="0" applyFont="1" applyBorder="1" applyProtection="1"/>
    <xf numFmtId="9" fontId="10" fillId="0" borderId="0" xfId="0" applyNumberFormat="1" applyFont="1" applyAlignment="1" applyProtection="1">
      <alignment horizontal="left"/>
    </xf>
    <xf numFmtId="0" fontId="2" fillId="0" borderId="0" xfId="546" applyFont="1" applyFill="1" applyBorder="1" applyAlignment="1" applyProtection="1"/>
    <xf numFmtId="173" fontId="2" fillId="0" borderId="0" xfId="546" applyNumberFormat="1" applyFont="1" applyBorder="1" applyProtection="1"/>
    <xf numFmtId="0" fontId="21" fillId="0" borderId="0" xfId="0" applyFont="1" applyProtection="1"/>
    <xf numFmtId="9" fontId="2" fillId="0" borderId="0" xfId="546" applyNumberFormat="1" applyFont="1" applyFill="1" applyBorder="1" applyAlignment="1" applyProtection="1">
      <alignment vertical="center"/>
    </xf>
    <xf numFmtId="172" fontId="2" fillId="0" borderId="0" xfId="546" applyNumberFormat="1" applyFont="1" applyBorder="1" applyAlignment="1" applyProtection="1"/>
    <xf numFmtId="0" fontId="12" fillId="0" borderId="0" xfId="0" applyFont="1" applyFill="1" applyBorder="1" applyAlignment="1" applyProtection="1"/>
    <xf numFmtId="0" fontId="11" fillId="0" borderId="0" xfId="546" applyFont="1" applyAlignment="1" applyProtection="1">
      <alignment horizontal="left"/>
    </xf>
    <xf numFmtId="0" fontId="11" fillId="0" borderId="0" xfId="546" applyFont="1" applyFill="1" applyAlignment="1" applyProtection="1">
      <alignment horizontal="left"/>
    </xf>
    <xf numFmtId="0" fontId="11" fillId="0" borderId="18" xfId="0" applyFont="1" applyBorder="1" applyProtection="1"/>
    <xf numFmtId="0" fontId="11" fillId="0" borderId="12" xfId="0" applyFont="1" applyBorder="1" applyProtection="1"/>
    <xf numFmtId="2" fontId="31" fillId="0" borderId="12" xfId="0" applyNumberFormat="1" applyFont="1" applyBorder="1" applyProtection="1"/>
    <xf numFmtId="0" fontId="11" fillId="0" borderId="0" xfId="0" applyFont="1" applyFill="1" applyBorder="1" applyAlignment="1" applyProtection="1">
      <alignment vertical="top"/>
    </xf>
    <xf numFmtId="0" fontId="16" fillId="0" borderId="0" xfId="0" applyFont="1" applyBorder="1" applyAlignment="1" applyProtection="1">
      <alignment vertical="top" wrapText="1"/>
    </xf>
    <xf numFmtId="0" fontId="11" fillId="0" borderId="4" xfId="0" applyFont="1" applyBorder="1" applyAlignment="1" applyProtection="1">
      <alignment horizontal="left" vertical="top"/>
    </xf>
    <xf numFmtId="0" fontId="11" fillId="0" borderId="4" xfId="0" applyFont="1" applyBorder="1" applyAlignment="1" applyProtection="1">
      <alignment vertical="top" wrapText="1"/>
    </xf>
    <xf numFmtId="0" fontId="11" fillId="0" borderId="0" xfId="0" applyFont="1" applyAlignment="1">
      <alignment wrapText="1"/>
    </xf>
    <xf numFmtId="0" fontId="9" fillId="0" borderId="0" xfId="0" applyFont="1" applyBorder="1" applyAlignment="1" applyProtection="1">
      <alignment horizontal="left" vertical="top"/>
    </xf>
    <xf numFmtId="0" fontId="43" fillId="0" borderId="0" xfId="0" applyFont="1" applyFill="1" applyAlignment="1" applyProtection="1">
      <alignment horizontal="center"/>
    </xf>
    <xf numFmtId="49" fontId="9" fillId="0" borderId="0" xfId="0" applyNumberFormat="1" applyFont="1" applyFill="1" applyAlignment="1">
      <alignment horizontal="center"/>
    </xf>
    <xf numFmtId="49" fontId="11" fillId="0" borderId="0" xfId="0" applyNumberFormat="1" applyFont="1" applyFill="1"/>
    <xf numFmtId="49" fontId="9" fillId="0" borderId="0" xfId="0" applyNumberFormat="1" applyFont="1" applyFill="1" applyAlignment="1" applyProtection="1">
      <alignment horizontal="center"/>
    </xf>
    <xf numFmtId="0" fontId="43" fillId="0" borderId="0" xfId="0" applyFont="1" applyFill="1" applyAlignment="1" applyProtection="1">
      <alignment horizontal="center" vertical="center"/>
    </xf>
    <xf numFmtId="49" fontId="9" fillId="0" borderId="0" xfId="0" applyNumberFormat="1" applyFont="1" applyFill="1" applyAlignment="1">
      <alignment horizontal="center" vertical="center"/>
    </xf>
    <xf numFmtId="0" fontId="11" fillId="0" borderId="0" xfId="0" applyFont="1" applyFill="1" applyAlignment="1">
      <alignment vertical="center"/>
    </xf>
    <xf numFmtId="49" fontId="11" fillId="0" borderId="0" xfId="0" applyNumberFormat="1" applyFont="1" applyFill="1" applyAlignment="1">
      <alignment vertical="center"/>
    </xf>
    <xf numFmtId="49" fontId="0" fillId="0" borderId="0" xfId="0" applyNumberFormat="1" applyFill="1" applyAlignment="1">
      <alignment vertical="center"/>
    </xf>
    <xf numFmtId="49" fontId="11" fillId="0" borderId="0" xfId="0" applyNumberFormat="1" applyFont="1" applyFill="1" applyAlignment="1" applyProtection="1">
      <alignment horizontal="center"/>
    </xf>
    <xf numFmtId="0" fontId="3" fillId="0" borderId="0" xfId="245" applyFill="1" applyBorder="1" applyProtection="1">
      <protection locked="0"/>
    </xf>
    <xf numFmtId="0" fontId="0" fillId="0" borderId="8" xfId="0" applyFill="1" applyBorder="1" applyProtection="1"/>
    <xf numFmtId="0" fontId="11" fillId="0" borderId="0" xfId="273" applyFont="1"/>
    <xf numFmtId="3" fontId="11" fillId="0" borderId="0" xfId="0" applyNumberFormat="1" applyFont="1" applyFill="1" applyBorder="1" applyAlignment="1" applyProtection="1">
      <alignment horizontal="center"/>
    </xf>
    <xf numFmtId="0" fontId="24" fillId="0" borderId="0" xfId="546" applyNumberFormat="1" applyFont="1" applyBorder="1" applyAlignment="1" applyProtection="1">
      <alignment horizontal="right" vertical="top" wrapText="1"/>
    </xf>
    <xf numFmtId="0" fontId="23" fillId="0" borderId="0" xfId="546" applyNumberFormat="1" applyFont="1" applyBorder="1" applyAlignment="1" applyProtection="1">
      <alignment horizontal="right" vertical="top" wrapText="1"/>
    </xf>
    <xf numFmtId="169" fontId="9" fillId="0" borderId="0" xfId="546" applyNumberFormat="1" applyFont="1" applyFill="1" applyBorder="1" applyAlignment="1" applyProtection="1">
      <alignment horizontal="center" vertical="center"/>
    </xf>
    <xf numFmtId="0" fontId="21" fillId="0" borderId="0" xfId="546" applyNumberFormat="1" applyFont="1" applyBorder="1" applyAlignment="1" applyProtection="1">
      <alignment horizontal="left" vertical="center"/>
    </xf>
    <xf numFmtId="0" fontId="9" fillId="0" borderId="0" xfId="546" applyNumberFormat="1" applyFont="1" applyBorder="1" applyAlignment="1" applyProtection="1">
      <alignment horizontal="right" vertical="top" wrapText="1"/>
    </xf>
    <xf numFmtId="0" fontId="11" fillId="0" borderId="0" xfId="546" applyNumberFormat="1" applyFont="1" applyBorder="1" applyAlignment="1" applyProtection="1">
      <alignment horizontal="left" vertical="center"/>
    </xf>
    <xf numFmtId="0" fontId="11" fillId="0" borderId="0" xfId="546" applyNumberFormat="1" applyFont="1" applyBorder="1" applyAlignment="1" applyProtection="1">
      <alignment horizontal="right" vertical="top" wrapText="1"/>
    </xf>
    <xf numFmtId="0" fontId="11" fillId="0" borderId="0" xfId="273" applyFont="1" applyAlignment="1">
      <alignment horizontal="center"/>
    </xf>
    <xf numFmtId="0" fontId="11" fillId="0" borderId="0" xfId="273" applyFont="1" applyAlignment="1" applyProtection="1">
      <alignment horizontal="center"/>
    </xf>
    <xf numFmtId="4" fontId="11" fillId="0" borderId="0" xfId="273" applyNumberFormat="1" applyFont="1" applyAlignment="1" applyProtection="1">
      <alignment horizontal="left"/>
    </xf>
    <xf numFmtId="4" fontId="11" fillId="0" borderId="0" xfId="273" applyNumberFormat="1" applyFont="1" applyProtection="1"/>
    <xf numFmtId="0" fontId="9" fillId="0" borderId="0" xfId="273" applyFont="1" applyProtection="1"/>
    <xf numFmtId="0" fontId="11" fillId="0" borderId="0" xfId="273" applyFont="1" applyProtection="1"/>
    <xf numFmtId="0" fontId="11" fillId="0" borderId="0" xfId="273"/>
    <xf numFmtId="169" fontId="11" fillId="0" borderId="0" xfId="273" applyNumberFormat="1" applyFont="1"/>
    <xf numFmtId="0" fontId="17" fillId="0" borderId="0" xfId="273" applyFont="1" applyAlignment="1">
      <alignment horizontal="center"/>
    </xf>
    <xf numFmtId="0" fontId="7" fillId="0" borderId="0" xfId="273" applyFont="1"/>
    <xf numFmtId="0" fontId="67" fillId="0" borderId="0" xfId="273" applyFont="1"/>
    <xf numFmtId="0" fontId="17" fillId="0" borderId="0" xfId="273" applyFont="1"/>
    <xf numFmtId="0" fontId="9" fillId="0" borderId="0" xfId="273" applyFont="1" applyAlignment="1">
      <alignment horizontal="center"/>
    </xf>
    <xf numFmtId="3" fontId="11" fillId="0" borderId="0" xfId="273" applyNumberFormat="1"/>
    <xf numFmtId="169" fontId="9" fillId="0" borderId="0" xfId="273" applyNumberFormat="1" applyFont="1" applyAlignment="1">
      <alignment horizontal="center"/>
    </xf>
    <xf numFmtId="3" fontId="11" fillId="0" borderId="0" xfId="273" applyNumberFormat="1" applyAlignment="1">
      <alignment horizontal="center"/>
    </xf>
    <xf numFmtId="3" fontId="11" fillId="0" borderId="0" xfId="273" applyNumberFormat="1" applyFont="1"/>
    <xf numFmtId="3" fontId="11" fillId="0" borderId="0" xfId="273" applyNumberFormat="1" applyFont="1" applyAlignment="1">
      <alignment horizontal="center"/>
    </xf>
    <xf numFmtId="0" fontId="56" fillId="0" borderId="0" xfId="273" applyFont="1"/>
    <xf numFmtId="169" fontId="7" fillId="0" borderId="0" xfId="273" applyNumberFormat="1" applyFont="1"/>
    <xf numFmtId="10" fontId="7" fillId="0" borderId="0" xfId="273" applyNumberFormat="1" applyFont="1" applyAlignment="1">
      <alignment horizontal="center"/>
    </xf>
    <xf numFmtId="3" fontId="71" fillId="0" borderId="0" xfId="273" applyNumberFormat="1" applyFont="1"/>
    <xf numFmtId="3" fontId="7"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7" fillId="7" borderId="0" xfId="273" applyFont="1" applyFill="1" applyAlignment="1">
      <alignment horizontal="left"/>
    </xf>
    <xf numFmtId="0" fontId="7" fillId="7" borderId="0" xfId="273" applyFont="1" applyFill="1"/>
    <xf numFmtId="10" fontId="7" fillId="0" borderId="0" xfId="273" applyNumberFormat="1" applyFont="1"/>
    <xf numFmtId="173" fontId="7" fillId="0" borderId="0" xfId="273" applyNumberFormat="1" applyFont="1"/>
    <xf numFmtId="173" fontId="7" fillId="0" borderId="0" xfId="273" applyNumberFormat="1" applyFont="1" applyAlignment="1">
      <alignment horizontal="center"/>
    </xf>
    <xf numFmtId="0" fontId="7" fillId="0" borderId="5" xfId="273" applyFont="1" applyBorder="1"/>
    <xf numFmtId="10" fontId="7" fillId="0" borderId="5" xfId="273" applyNumberFormat="1" applyFont="1" applyBorder="1" applyAlignment="1">
      <alignment horizontal="center"/>
    </xf>
    <xf numFmtId="3" fontId="7" fillId="0" borderId="5" xfId="273" applyNumberFormat="1" applyFont="1" applyBorder="1"/>
    <xf numFmtId="10" fontId="11" fillId="0" borderId="0" xfId="273" applyNumberFormat="1" applyFont="1" applyAlignment="1">
      <alignment horizontal="center"/>
    </xf>
    <xf numFmtId="169" fontId="11" fillId="0" borderId="0" xfId="273" applyNumberFormat="1" applyFont="1" applyAlignment="1">
      <alignment horizontal="center"/>
    </xf>
    <xf numFmtId="0" fontId="11" fillId="7" borderId="0" xfId="273" applyFont="1" applyFill="1"/>
    <xf numFmtId="169" fontId="11" fillId="7" borderId="0" xfId="273" applyNumberFormat="1" applyFont="1" applyFill="1"/>
    <xf numFmtId="3" fontId="11" fillId="7" borderId="0" xfId="273" applyNumberFormat="1" applyFont="1" applyFill="1"/>
    <xf numFmtId="3" fontId="11" fillId="0" borderId="0" xfId="273" applyNumberFormat="1" applyFont="1" applyAlignment="1">
      <alignment vertical="top"/>
    </xf>
    <xf numFmtId="10" fontId="9" fillId="0" borderId="0" xfId="273" applyNumberFormat="1" applyFont="1" applyFill="1" applyAlignment="1">
      <alignment horizontal="center"/>
    </xf>
    <xf numFmtId="0" fontId="17" fillId="0" borderId="5" xfId="273" applyFont="1" applyBorder="1" applyAlignment="1">
      <alignment horizontal="center"/>
    </xf>
    <xf numFmtId="3" fontId="71" fillId="0" borderId="5" xfId="273" applyNumberFormat="1" applyFont="1" applyBorder="1"/>
    <xf numFmtId="3" fontId="11" fillId="7" borderId="5" xfId="273" applyNumberFormat="1" applyFont="1" applyFill="1" applyBorder="1"/>
    <xf numFmtId="173" fontId="11" fillId="0" borderId="0" xfId="273" applyNumberFormat="1" applyFont="1" applyAlignment="1">
      <alignment horizontal="center"/>
    </xf>
    <xf numFmtId="10" fontId="72" fillId="0" borderId="0" xfId="273" applyNumberFormat="1" applyFont="1" applyAlignment="1">
      <alignment horizontal="center"/>
    </xf>
    <xf numFmtId="173" fontId="11" fillId="0" borderId="0" xfId="273" applyNumberFormat="1" applyFont="1" applyFill="1" applyAlignment="1">
      <alignment horizontal="center"/>
    </xf>
    <xf numFmtId="2" fontId="11" fillId="0" borderId="0" xfId="273" applyNumberFormat="1" applyFont="1" applyFill="1" applyAlignment="1">
      <alignment horizontal="center"/>
    </xf>
    <xf numFmtId="0" fontId="9" fillId="0" borderId="0" xfId="273" applyFont="1" applyFill="1"/>
    <xf numFmtId="3" fontId="7" fillId="7" borderId="17" xfId="0" applyNumberFormat="1" applyFont="1" applyFill="1" applyBorder="1" applyProtection="1">
      <protection locked="0"/>
    </xf>
    <xf numFmtId="0" fontId="7" fillId="5" borderId="15" xfId="0" applyFont="1" applyFill="1" applyBorder="1"/>
    <xf numFmtId="0" fontId="7" fillId="5" borderId="8" xfId="0" applyFont="1" applyFill="1" applyBorder="1"/>
    <xf numFmtId="49" fontId="7" fillId="7" borderId="17" xfId="0" applyNumberFormat="1" applyFont="1" applyFill="1" applyBorder="1" applyProtection="1">
      <protection locked="0"/>
    </xf>
    <xf numFmtId="0" fontId="10" fillId="0" borderId="0" xfId="0" applyNumberFormat="1" applyFont="1" applyFill="1" applyAlignment="1" applyProtection="1">
      <alignment vertical="top" wrapText="1"/>
    </xf>
    <xf numFmtId="49" fontId="0" fillId="0" borderId="0" xfId="0" applyNumberFormat="1" applyAlignment="1" applyProtection="1"/>
    <xf numFmtId="0" fontId="0" fillId="0" borderId="0" xfId="0" applyFont="1" applyFill="1" applyBorder="1" applyProtection="1"/>
    <xf numFmtId="0" fontId="2" fillId="0" borderId="5" xfId="0" applyFont="1" applyBorder="1" applyProtection="1"/>
    <xf numFmtId="0" fontId="2" fillId="0" borderId="4" xfId="0" applyFont="1" applyBorder="1" applyProtection="1"/>
    <xf numFmtId="0" fontId="11" fillId="10" borderId="5" xfId="0" applyFont="1" applyFill="1" applyBorder="1" applyAlignment="1" applyProtection="1"/>
    <xf numFmtId="0" fontId="2" fillId="0" borderId="0" xfId="0" applyNumberFormat="1" applyFont="1" applyFill="1" applyBorder="1" applyAlignment="1" applyProtection="1">
      <alignment horizontal="right" vertical="top"/>
    </xf>
    <xf numFmtId="0" fontId="2" fillId="0" borderId="13" xfId="0" applyNumberFormat="1" applyFont="1" applyFill="1" applyBorder="1" applyAlignment="1" applyProtection="1">
      <alignment horizontal="right" vertical="top"/>
    </xf>
    <xf numFmtId="0" fontId="31" fillId="0" borderId="0" xfId="0" applyFont="1" applyFill="1" applyBorder="1" applyProtection="1"/>
    <xf numFmtId="0" fontId="11" fillId="0" borderId="0" xfId="0" applyFont="1" applyFill="1" applyAlignment="1" applyProtection="1"/>
    <xf numFmtId="169" fontId="25" fillId="0" borderId="0" xfId="0" applyNumberFormat="1" applyFont="1" applyBorder="1" applyAlignment="1" applyProtection="1">
      <alignment vertical="top" wrapText="1"/>
    </xf>
    <xf numFmtId="169" fontId="25" fillId="0" borderId="12" xfId="0" applyNumberFormat="1" applyFont="1" applyBorder="1" applyAlignment="1" applyProtection="1">
      <alignment vertical="top" wrapText="1"/>
    </xf>
    <xf numFmtId="0" fontId="11" fillId="0" borderId="1" xfId="0" applyFont="1" applyBorder="1" applyProtection="1"/>
    <xf numFmtId="169" fontId="11" fillId="0" borderId="3" xfId="0" applyNumberFormat="1" applyFont="1" applyFill="1" applyBorder="1" applyAlignment="1" applyProtection="1">
      <alignment vertical="top"/>
    </xf>
    <xf numFmtId="169" fontId="2" fillId="0" borderId="4" xfId="0" applyNumberFormat="1" applyFont="1" applyFill="1" applyBorder="1" applyAlignment="1" applyProtection="1">
      <alignment vertical="top"/>
    </xf>
    <xf numFmtId="169" fontId="2" fillId="0" borderId="8" xfId="0" applyNumberFormat="1" applyFont="1" applyFill="1" applyBorder="1" applyAlignment="1" applyProtection="1">
      <alignment vertical="top"/>
    </xf>
    <xf numFmtId="169" fontId="2" fillId="0" borderId="0" xfId="0" applyNumberFormat="1" applyFont="1" applyFill="1" applyBorder="1" applyAlignment="1" applyProtection="1">
      <alignment vertical="top"/>
    </xf>
    <xf numFmtId="0" fontId="0" fillId="7" borderId="3" xfId="0" applyFill="1" applyBorder="1" applyAlignment="1" applyProtection="1">
      <alignment horizontal="left"/>
      <protection locked="0"/>
    </xf>
    <xf numFmtId="0" fontId="0" fillId="7" borderId="4" xfId="0" applyFill="1" applyBorder="1" applyAlignment="1" applyProtection="1">
      <alignment horizontal="left"/>
      <protection locked="0"/>
    </xf>
    <xf numFmtId="0" fontId="2" fillId="7" borderId="4" xfId="0" applyNumberFormat="1" applyFont="1" applyFill="1" applyBorder="1" applyAlignment="1" applyProtection="1">
      <alignment horizontal="left" vertical="top"/>
      <protection locked="0"/>
    </xf>
    <xf numFmtId="0" fontId="2" fillId="7" borderId="8" xfId="0" applyNumberFormat="1" applyFont="1" applyFill="1" applyBorder="1" applyAlignment="1" applyProtection="1">
      <alignment horizontal="left" vertical="top"/>
      <protection locked="0"/>
    </xf>
    <xf numFmtId="0" fontId="11" fillId="0" borderId="0" xfId="0" applyFont="1" applyFill="1" applyAlignment="1">
      <alignment horizontal="left" wrapText="1"/>
    </xf>
    <xf numFmtId="0" fontId="37" fillId="0" borderId="0" xfId="0" applyFont="1" applyAlignment="1">
      <alignment horizontal="left"/>
    </xf>
    <xf numFmtId="0" fontId="11" fillId="0" borderId="0" xfId="273" applyFont="1" applyAlignment="1" applyProtection="1">
      <alignment horizontal="left"/>
    </xf>
    <xf numFmtId="0" fontId="11" fillId="0" borderId="0" xfId="273" applyFont="1" applyFill="1" applyAlignment="1" applyProtection="1">
      <alignment horizontal="left"/>
    </xf>
    <xf numFmtId="0" fontId="0" fillId="2" borderId="8" xfId="0" applyFill="1" applyBorder="1" applyAlignment="1" applyProtection="1">
      <alignment horizontal="center"/>
    </xf>
    <xf numFmtId="0" fontId="0" fillId="2" borderId="3" xfId="0" applyFill="1" applyBorder="1" applyAlignment="1" applyProtection="1">
      <alignment horizontal="center"/>
    </xf>
    <xf numFmtId="0" fontId="0" fillId="0" borderId="3" xfId="0" applyBorder="1" applyAlignment="1" applyProtection="1">
      <alignment horizontal="center"/>
    </xf>
    <xf numFmtId="0" fontId="0" fillId="0" borderId="4" xfId="0" applyBorder="1" applyAlignment="1" applyProtection="1">
      <alignment horizontal="center"/>
    </xf>
    <xf numFmtId="0" fontId="0" fillId="0" borderId="8" xfId="0" applyBorder="1" applyAlignment="1" applyProtection="1">
      <alignment horizontal="center"/>
    </xf>
    <xf numFmtId="0" fontId="0" fillId="0" borderId="3" xfId="0" applyFill="1" applyBorder="1" applyAlignment="1" applyProtection="1">
      <alignment horizontal="center"/>
    </xf>
    <xf numFmtId="0" fontId="0" fillId="0" borderId="8" xfId="0" applyFill="1" applyBorder="1" applyAlignment="1" applyProtection="1">
      <alignment horizontal="center"/>
    </xf>
    <xf numFmtId="0" fontId="10" fillId="0" borderId="0" xfId="273" applyNumberFormat="1" applyFont="1" applyFill="1" applyBorder="1" applyAlignment="1" applyProtection="1">
      <alignment vertical="top"/>
    </xf>
    <xf numFmtId="164" fontId="11" fillId="0" borderId="0" xfId="273" applyNumberFormat="1" applyFill="1" applyBorder="1" applyAlignment="1" applyProtection="1">
      <alignment horizontal="right"/>
    </xf>
    <xf numFmtId="0" fontId="11" fillId="0" borderId="0" xfId="547" applyFont="1" applyAlignment="1" applyProtection="1"/>
    <xf numFmtId="0" fontId="10" fillId="0" borderId="0" xfId="273" applyFont="1" applyFill="1" applyBorder="1" applyAlignment="1" applyProtection="1">
      <alignment vertical="top"/>
    </xf>
    <xf numFmtId="49" fontId="11" fillId="0" borderId="0" xfId="273" applyNumberFormat="1" applyFont="1" applyAlignment="1" applyProtection="1">
      <alignment horizontal="center"/>
    </xf>
    <xf numFmtId="49" fontId="11" fillId="0" borderId="0" xfId="273" applyNumberFormat="1" applyFont="1" applyAlignment="1">
      <alignment horizontal="center"/>
    </xf>
    <xf numFmtId="0" fontId="9" fillId="0" borderId="0" xfId="0" applyFont="1" applyBorder="1" applyAlignment="1" applyProtection="1"/>
    <xf numFmtId="0" fontId="9" fillId="0" borderId="9" xfId="0" applyFont="1" applyBorder="1" applyAlignment="1" applyProtection="1"/>
    <xf numFmtId="0" fontId="9" fillId="0" borderId="3" xfId="0" applyFont="1" applyBorder="1" applyAlignment="1" applyProtection="1"/>
    <xf numFmtId="0" fontId="9" fillId="0" borderId="4" xfId="0" applyFont="1" applyBorder="1" applyAlignment="1" applyProtection="1"/>
    <xf numFmtId="0" fontId="10" fillId="0" borderId="4" xfId="0" applyFont="1" applyBorder="1" applyAlignment="1" applyProtection="1">
      <alignment horizontal="right"/>
    </xf>
    <xf numFmtId="0" fontId="9" fillId="0" borderId="5" xfId="0" applyFont="1" applyBorder="1" applyAlignment="1" applyProtection="1"/>
    <xf numFmtId="169" fontId="11" fillId="0" borderId="7" xfId="273" applyNumberFormat="1" applyFont="1" applyFill="1" applyBorder="1" applyAlignment="1" applyProtection="1">
      <alignment vertical="top"/>
    </xf>
    <xf numFmtId="0" fontId="10" fillId="0" borderId="5" xfId="0" applyFont="1" applyBorder="1" applyAlignment="1" applyProtection="1">
      <alignment horizontal="right"/>
    </xf>
    <xf numFmtId="4" fontId="11" fillId="0" borderId="0" xfId="273" applyNumberFormat="1" applyFont="1" applyAlignment="1" applyProtection="1">
      <alignment horizontal="center"/>
    </xf>
    <xf numFmtId="0" fontId="0" fillId="11" borderId="1" xfId="0" applyFill="1" applyBorder="1" applyProtection="1"/>
    <xf numFmtId="0" fontId="0" fillId="11" borderId="2" xfId="0" applyFill="1" applyBorder="1" applyProtection="1"/>
    <xf numFmtId="0" fontId="0" fillId="11" borderId="11" xfId="0" applyFill="1" applyBorder="1" applyProtection="1"/>
    <xf numFmtId="0" fontId="0" fillId="11" borderId="7" xfId="0" applyFill="1" applyBorder="1" applyProtection="1"/>
    <xf numFmtId="0" fontId="0" fillId="11" borderId="0" xfId="0" applyFill="1" applyBorder="1" applyProtection="1"/>
    <xf numFmtId="0" fontId="0" fillId="11" borderId="13" xfId="0" applyFill="1" applyBorder="1" applyProtection="1"/>
    <xf numFmtId="0" fontId="0" fillId="11" borderId="3" xfId="0" applyFill="1" applyBorder="1" applyProtection="1"/>
    <xf numFmtId="0" fontId="0" fillId="11" borderId="4" xfId="0" applyFill="1" applyBorder="1" applyProtection="1"/>
    <xf numFmtId="0" fontId="0" fillId="11" borderId="8" xfId="0" applyFill="1" applyBorder="1" applyAlignment="1" applyProtection="1">
      <alignment horizontal="right"/>
    </xf>
    <xf numFmtId="0" fontId="0" fillId="11" borderId="5" xfId="0" applyFill="1" applyBorder="1" applyProtection="1"/>
    <xf numFmtId="0" fontId="0" fillId="11" borderId="10" xfId="0" applyFill="1" applyBorder="1" applyProtection="1"/>
    <xf numFmtId="0" fontId="11" fillId="0" borderId="0" xfId="0" applyFont="1" applyFill="1" applyAlignment="1" applyProtection="1">
      <alignment horizontal="left"/>
    </xf>
    <xf numFmtId="0" fontId="11" fillId="0" borderId="0" xfId="273" applyFont="1" applyFill="1" applyAlignment="1">
      <alignment horizontal="left"/>
    </xf>
    <xf numFmtId="1" fontId="31" fillId="0" borderId="18" xfId="0" applyNumberFormat="1" applyFont="1" applyBorder="1" applyProtection="1"/>
    <xf numFmtId="1" fontId="31" fillId="0" borderId="17" xfId="0" applyNumberFormat="1" applyFont="1" applyBorder="1" applyProtection="1"/>
    <xf numFmtId="1" fontId="31" fillId="0" borderId="15" xfId="0" applyNumberFormat="1" applyFont="1" applyBorder="1" applyProtection="1"/>
    <xf numFmtId="0" fontId="37" fillId="0" borderId="0" xfId="0" applyFont="1" applyFill="1" applyAlignment="1">
      <alignment horizontal="left"/>
    </xf>
    <xf numFmtId="4" fontId="0" fillId="0" borderId="0" xfId="0" applyNumberFormat="1" applyFill="1" applyProtection="1"/>
    <xf numFmtId="4" fontId="11" fillId="0" borderId="0" xfId="0" applyNumberFormat="1" applyFont="1" applyFill="1" applyProtection="1"/>
    <xf numFmtId="0" fontId="0" fillId="0" borderId="0" xfId="0" applyFill="1" applyAlignment="1"/>
    <xf numFmtId="4" fontId="11" fillId="0" borderId="0" xfId="273" applyNumberFormat="1" applyFont="1" applyFill="1" applyAlignment="1" applyProtection="1">
      <alignment horizontal="left"/>
    </xf>
    <xf numFmtId="4" fontId="11" fillId="0" borderId="0" xfId="273" applyNumberFormat="1" applyFont="1" applyFill="1" applyBorder="1" applyProtection="1"/>
    <xf numFmtId="49" fontId="11" fillId="0" borderId="0" xfId="273" applyNumberFormat="1" applyFont="1" applyFill="1"/>
    <xf numFmtId="0" fontId="10" fillId="0" borderId="5" xfId="273" applyFont="1" applyFill="1" applyBorder="1" applyAlignment="1" applyProtection="1">
      <alignment horizontal="center"/>
    </xf>
    <xf numFmtId="0" fontId="11" fillId="0" borderId="0" xfId="273" applyFont="1" applyFill="1"/>
    <xf numFmtId="0" fontId="10" fillId="0" borderId="0" xfId="273" applyFont="1" applyFill="1" applyProtection="1"/>
    <xf numFmtId="165" fontId="31" fillId="0" borderId="0" xfId="0" applyNumberFormat="1" applyFont="1" applyProtection="1"/>
    <xf numFmtId="165" fontId="31" fillId="0" borderId="9" xfId="0" applyNumberFormat="1" applyFont="1" applyBorder="1" applyProtection="1"/>
    <xf numFmtId="171" fontId="31" fillId="0" borderId="17" xfId="0" applyNumberFormat="1" applyFont="1" applyBorder="1" applyProtection="1"/>
    <xf numFmtId="1" fontId="9" fillId="0" borderId="12" xfId="0" applyNumberFormat="1" applyFont="1" applyBorder="1" applyProtection="1"/>
    <xf numFmtId="165" fontId="9" fillId="0" borderId="12" xfId="0" applyNumberFormat="1" applyFont="1" applyBorder="1" applyProtection="1"/>
    <xf numFmtId="0" fontId="25" fillId="0" borderId="12" xfId="0" applyFont="1" applyFill="1" applyBorder="1" applyAlignment="1" applyProtection="1">
      <alignment horizontal="right" vertical="top"/>
    </xf>
    <xf numFmtId="0" fontId="25" fillId="0" borderId="12" xfId="0" applyFont="1" applyFill="1" applyBorder="1" applyAlignment="1" applyProtection="1">
      <alignment horizontal="right" vertical="top" wrapText="1"/>
    </xf>
    <xf numFmtId="0" fontId="0" fillId="0" borderId="0" xfId="0" applyBorder="1" applyAlignment="1" applyProtection="1"/>
    <xf numFmtId="0" fontId="9" fillId="0" borderId="0" xfId="545" applyFont="1" applyAlignment="1" applyProtection="1"/>
    <xf numFmtId="0" fontId="20" fillId="9" borderId="0" xfId="545" applyFont="1" applyFill="1" applyAlignment="1" applyProtection="1"/>
    <xf numFmtId="0" fontId="11" fillId="9" borderId="0" xfId="545" quotePrefix="1" applyFont="1" applyFill="1" applyAlignment="1" applyProtection="1">
      <alignment horizontal="left"/>
    </xf>
    <xf numFmtId="0" fontId="11" fillId="9" borderId="0" xfId="545" applyFont="1" applyFill="1" applyProtection="1"/>
    <xf numFmtId="0" fontId="64" fillId="0" borderId="0" xfId="545" applyProtection="1"/>
    <xf numFmtId="5" fontId="11" fillId="0" borderId="0" xfId="545" applyNumberFormat="1" applyFont="1" applyProtection="1"/>
    <xf numFmtId="0" fontId="10" fillId="0" borderId="5" xfId="273" applyFont="1" applyFill="1" applyBorder="1" applyAlignment="1" applyProtection="1">
      <alignment horizontal="left"/>
    </xf>
    <xf numFmtId="0" fontId="10" fillId="0" borderId="5" xfId="273" applyFont="1" applyFill="1" applyBorder="1" applyAlignment="1" applyProtection="1">
      <alignment horizontal="right"/>
    </xf>
    <xf numFmtId="0" fontId="7" fillId="7" borderId="5" xfId="0" applyFont="1" applyFill="1" applyBorder="1" applyAlignment="1" applyProtection="1">
      <alignment horizontal="left" vertical="center" wrapText="1"/>
      <protection locked="0"/>
    </xf>
    <xf numFmtId="0" fontId="10" fillId="0" borderId="0" xfId="0" applyFont="1" applyAlignment="1" applyProtection="1">
      <alignment horizontal="center"/>
    </xf>
    <xf numFmtId="0" fontId="0" fillId="0" borderId="0" xfId="0" applyAlignment="1" applyProtection="1">
      <protection locked="0"/>
    </xf>
    <xf numFmtId="0" fontId="14" fillId="0" borderId="0" xfId="0" applyFont="1" applyBorder="1" applyAlignment="1" applyProtection="1">
      <alignment vertical="center"/>
    </xf>
    <xf numFmtId="0" fontId="2" fillId="0" borderId="18" xfId="0" applyFont="1" applyBorder="1" applyProtection="1"/>
    <xf numFmtId="0" fontId="2" fillId="0" borderId="12" xfId="0" applyFont="1" applyBorder="1" applyProtection="1"/>
    <xf numFmtId="0" fontId="9" fillId="0" borderId="19" xfId="0" applyFont="1" applyBorder="1" applyProtection="1"/>
    <xf numFmtId="0" fontId="7" fillId="0" borderId="12" xfId="254" applyFont="1" applyFill="1" applyBorder="1" applyAlignment="1" applyProtection="1">
      <alignment horizontal="center" wrapText="1"/>
      <protection locked="0"/>
    </xf>
    <xf numFmtId="3" fontId="7" fillId="12" borderId="12" xfId="0" applyNumberFormat="1" applyFont="1" applyFill="1" applyBorder="1" applyProtection="1">
      <protection locked="0"/>
    </xf>
    <xf numFmtId="0" fontId="21" fillId="0" borderId="0" xfId="0" applyFont="1" applyFill="1" applyBorder="1" applyAlignment="1" applyProtection="1">
      <alignment horizontal="center"/>
    </xf>
    <xf numFmtId="0" fontId="21" fillId="0" borderId="0" xfId="0" applyFont="1" applyFill="1" applyBorder="1" applyAlignment="1">
      <alignment horizontal="center"/>
    </xf>
    <xf numFmtId="0" fontId="11" fillId="0" borderId="0" xfId="273" applyFont="1" applyBorder="1" applyProtection="1"/>
    <xf numFmtId="0" fontId="11" fillId="0" borderId="0" xfId="273" quotePrefix="1" applyNumberFormat="1" applyFont="1" applyAlignment="1" applyProtection="1">
      <alignment horizontal="center"/>
    </xf>
    <xf numFmtId="0" fontId="11" fillId="0" borderId="0" xfId="273" applyNumberFormat="1" applyFont="1" applyAlignment="1" applyProtection="1">
      <alignment horizontal="center"/>
    </xf>
    <xf numFmtId="0" fontId="10" fillId="0" borderId="0" xfId="273" applyFont="1" applyProtection="1"/>
    <xf numFmtId="0" fontId="11" fillId="0" borderId="0" xfId="273" applyFont="1" applyFill="1" applyProtection="1"/>
    <xf numFmtId="1" fontId="11" fillId="0" borderId="0" xfId="273" applyNumberFormat="1" applyFont="1" applyProtection="1"/>
    <xf numFmtId="166" fontId="11" fillId="0" borderId="0" xfId="273" applyNumberFormat="1" applyFont="1" applyProtection="1"/>
    <xf numFmtId="0" fontId="0" fillId="0" borderId="0" xfId="0" applyFont="1" applyProtection="1"/>
    <xf numFmtId="1" fontId="2" fillId="0" borderId="0" xfId="546" applyNumberFormat="1" applyFont="1" applyProtection="1"/>
    <xf numFmtId="0" fontId="10" fillId="0" borderId="0" xfId="0" applyNumberFormat="1" applyFont="1" applyAlignment="1" applyProtection="1">
      <alignment horizontal="right"/>
    </xf>
    <xf numFmtId="0" fontId="10" fillId="0" borderId="0" xfId="0" quotePrefix="1" applyNumberFormat="1" applyFont="1" applyAlignment="1" applyProtection="1">
      <alignment horizontal="right"/>
    </xf>
    <xf numFmtId="0" fontId="10" fillId="0" borderId="0" xfId="0" quotePrefix="1" applyNumberFormat="1" applyFont="1" applyFill="1" applyAlignment="1" applyProtection="1">
      <alignment horizontal="right"/>
    </xf>
    <xf numFmtId="1" fontId="2" fillId="0" borderId="0" xfId="546" applyNumberFormat="1" applyFont="1" applyBorder="1" applyProtection="1"/>
    <xf numFmtId="1" fontId="2" fillId="0" borderId="12" xfId="546" applyNumberFormat="1" applyFont="1" applyBorder="1" applyProtection="1"/>
    <xf numFmtId="0" fontId="15" fillId="0" borderId="1" xfId="0" applyFont="1" applyBorder="1" applyProtection="1"/>
    <xf numFmtId="0" fontId="15" fillId="0" borderId="7" xfId="0" applyFont="1" applyBorder="1" applyProtection="1"/>
    <xf numFmtId="0" fontId="15" fillId="0" borderId="9" xfId="0" applyFont="1" applyBorder="1" applyProtection="1"/>
    <xf numFmtId="0" fontId="2" fillId="0" borderId="10" xfId="0" applyFont="1" applyBorder="1" applyProtection="1"/>
    <xf numFmtId="0" fontId="9" fillId="0" borderId="0" xfId="0" applyFont="1" applyBorder="1" applyAlignment="1" applyProtection="1">
      <alignment vertical="top"/>
    </xf>
    <xf numFmtId="0" fontId="25" fillId="2" borderId="11" xfId="0" applyFont="1" applyFill="1" applyBorder="1" applyAlignment="1" applyProtection="1">
      <alignment vertical="top" wrapText="1"/>
    </xf>
    <xf numFmtId="0" fontId="25" fillId="0" borderId="18" xfId="0" applyFont="1" applyBorder="1" applyAlignment="1" applyProtection="1">
      <alignment vertical="top" wrapText="1"/>
    </xf>
    <xf numFmtId="0" fontId="49" fillId="2" borderId="15" xfId="0" applyFont="1" applyFill="1" applyBorder="1" applyAlignment="1" applyProtection="1">
      <alignment vertical="top" wrapText="1"/>
    </xf>
    <xf numFmtId="0" fontId="49" fillId="0" borderId="0" xfId="0" applyFont="1" applyBorder="1" applyAlignment="1" applyProtection="1">
      <alignment vertical="top" wrapText="1"/>
    </xf>
    <xf numFmtId="0" fontId="49" fillId="2" borderId="0" xfId="0" applyFont="1" applyFill="1" applyBorder="1" applyAlignment="1" applyProtection="1">
      <alignment vertical="top" wrapText="1"/>
    </xf>
    <xf numFmtId="0" fontId="49" fillId="0" borderId="0" xfId="0" applyFont="1" applyBorder="1" applyAlignment="1" applyProtection="1">
      <alignment horizontal="right" vertical="top" wrapText="1"/>
    </xf>
    <xf numFmtId="0" fontId="0" fillId="7" borderId="3" xfId="0" applyFill="1" applyBorder="1"/>
    <xf numFmtId="0" fontId="7" fillId="7" borderId="0" xfId="0" applyFont="1" applyFill="1"/>
    <xf numFmtId="4" fontId="0" fillId="0" borderId="0" xfId="0" applyNumberFormat="1" applyProtection="1"/>
    <xf numFmtId="0" fontId="75" fillId="0" borderId="0" xfId="0" applyFont="1" applyAlignment="1">
      <alignment vertical="center"/>
    </xf>
    <xf numFmtId="0" fontId="75" fillId="0" borderId="0" xfId="0" applyFont="1" applyAlignment="1">
      <alignment horizontal="left" vertical="center" indent="1"/>
    </xf>
    <xf numFmtId="0" fontId="75" fillId="0" borderId="0" xfId="0" applyFont="1" applyAlignment="1">
      <alignment vertical="center" wrapText="1"/>
    </xf>
    <xf numFmtId="0" fontId="22" fillId="0" borderId="0" xfId="546" applyFont="1" applyBorder="1" applyAlignment="1" applyProtection="1"/>
    <xf numFmtId="173" fontId="11" fillId="7" borderId="0" xfId="273" applyNumberFormat="1" applyFont="1" applyFill="1" applyAlignment="1">
      <alignment horizontal="center"/>
    </xf>
    <xf numFmtId="0" fontId="2" fillId="0" borderId="0" xfId="0" applyFont="1" applyAlignment="1" applyProtection="1">
      <alignment horizontal="center"/>
    </xf>
    <xf numFmtId="0" fontId="2" fillId="0" borderId="0" xfId="0" applyFont="1" applyBorder="1" applyAlignment="1" applyProtection="1">
      <alignment horizontal="center"/>
    </xf>
    <xf numFmtId="0" fontId="11" fillId="0" borderId="0" xfId="0" applyFont="1" applyBorder="1" applyAlignment="1">
      <alignment wrapText="1"/>
    </xf>
    <xf numFmtId="0" fontId="32" fillId="0" borderId="0" xfId="0" applyFont="1" applyFill="1" applyBorder="1" applyAlignment="1">
      <alignment vertical="center" wrapText="1"/>
    </xf>
    <xf numFmtId="0" fontId="10" fillId="0" borderId="0" xfId="0" applyFont="1" applyFill="1" applyBorder="1" applyAlignment="1" applyProtection="1">
      <protection locked="0"/>
    </xf>
    <xf numFmtId="0" fontId="11" fillId="0" borderId="0" xfId="273" applyBorder="1" applyAlignment="1" applyProtection="1">
      <alignment horizontal="center"/>
    </xf>
    <xf numFmtId="0" fontId="11" fillId="0" borderId="0" xfId="273" applyBorder="1" applyProtection="1"/>
    <xf numFmtId="165" fontId="9" fillId="0" borderId="0" xfId="0" applyNumberFormat="1" applyFont="1" applyBorder="1" applyAlignment="1" applyProtection="1">
      <alignment horizontal="center"/>
    </xf>
    <xf numFmtId="1" fontId="11" fillId="0" borderId="0" xfId="0" applyNumberFormat="1" applyFont="1" applyFill="1" applyBorder="1" applyAlignment="1" applyProtection="1">
      <alignment horizontal="center"/>
    </xf>
    <xf numFmtId="0" fontId="9" fillId="0" borderId="0" xfId="273" applyFont="1" applyFill="1" applyBorder="1" applyAlignment="1" applyProtection="1">
      <alignment horizontal="left"/>
    </xf>
    <xf numFmtId="0" fontId="9" fillId="0" borderId="0" xfId="273" applyFont="1" applyBorder="1" applyAlignment="1" applyProtection="1">
      <alignment horizontal="right"/>
    </xf>
    <xf numFmtId="0" fontId="9" fillId="0" borderId="0" xfId="273" applyFont="1" applyBorder="1" applyAlignment="1" applyProtection="1">
      <alignment horizontal="left"/>
    </xf>
    <xf numFmtId="169" fontId="11" fillId="0" borderId="0" xfId="273" applyNumberFormat="1" applyFont="1" applyFill="1" applyBorder="1" applyAlignment="1" applyProtection="1">
      <alignment horizontal="center"/>
    </xf>
    <xf numFmtId="1" fontId="11" fillId="0" borderId="0" xfId="273" applyNumberFormat="1" applyFont="1" applyFill="1" applyBorder="1" applyAlignment="1" applyProtection="1">
      <alignment horizontal="center"/>
    </xf>
    <xf numFmtId="165" fontId="9" fillId="0" borderId="0" xfId="273" applyNumberFormat="1" applyFont="1" applyBorder="1" applyAlignment="1" applyProtection="1">
      <alignment horizontal="center"/>
    </xf>
    <xf numFmtId="0" fontId="9" fillId="0" borderId="0" xfId="273" applyFont="1" applyBorder="1" applyAlignment="1" applyProtection="1">
      <alignment horizontal="center"/>
    </xf>
    <xf numFmtId="0" fontId="11" fillId="0" borderId="0" xfId="0" quotePrefix="1" applyFont="1" applyFill="1" applyBorder="1" applyAlignment="1" applyProtection="1">
      <alignment horizontal="center" vertical="top"/>
    </xf>
    <xf numFmtId="49" fontId="10" fillId="0" borderId="0" xfId="0" applyNumberFormat="1" applyFont="1" applyFill="1" applyBorder="1" applyAlignment="1" applyProtection="1">
      <alignment horizontal="left" vertical="center" wrapText="1"/>
    </xf>
    <xf numFmtId="0" fontId="11" fillId="0" borderId="0" xfId="273" applyFill="1"/>
    <xf numFmtId="0" fontId="56" fillId="0" borderId="0" xfId="273" applyFont="1" applyFill="1" applyProtection="1"/>
    <xf numFmtId="0" fontId="56" fillId="0" borderId="0" xfId="273" applyFont="1" applyProtection="1"/>
    <xf numFmtId="9" fontId="7" fillId="7" borderId="0" xfId="273" applyNumberFormat="1" applyFont="1" applyFill="1" applyBorder="1" applyAlignment="1" applyProtection="1">
      <alignment horizontal="right"/>
      <protection locked="0"/>
    </xf>
    <xf numFmtId="1" fontId="7" fillId="7" borderId="0" xfId="273" applyNumberFormat="1" applyFont="1" applyFill="1" applyBorder="1" applyAlignment="1" applyProtection="1">
      <alignment horizontal="center"/>
      <protection locked="0"/>
    </xf>
    <xf numFmtId="169" fontId="7" fillId="7" borderId="0" xfId="273" applyNumberFormat="1" applyFont="1" applyFill="1" applyBorder="1" applyAlignment="1" applyProtection="1">
      <alignment horizontal="center"/>
      <protection locked="0"/>
    </xf>
    <xf numFmtId="169" fontId="7" fillId="7" borderId="0" xfId="273" applyNumberFormat="1" applyFont="1" applyFill="1" applyAlignment="1" applyProtection="1">
      <alignment horizontal="center"/>
      <protection locked="0"/>
    </xf>
    <xf numFmtId="0" fontId="9" fillId="0" borderId="0" xfId="0" applyFont="1" applyFill="1" applyAlignment="1">
      <alignment horizontal="left" vertical="top"/>
    </xf>
    <xf numFmtId="0" fontId="9" fillId="0" borderId="0" xfId="0" applyFont="1" applyFill="1" applyAlignment="1">
      <alignment vertical="top" wrapText="1"/>
    </xf>
    <xf numFmtId="0" fontId="25" fillId="0" borderId="0" xfId="0" applyFont="1" applyFill="1" applyBorder="1" applyAlignment="1">
      <alignment vertical="top" wrapText="1"/>
    </xf>
    <xf numFmtId="0" fontId="9" fillId="0" borderId="0" xfId="273" applyFont="1" applyFill="1" applyBorder="1" applyAlignment="1" applyProtection="1">
      <alignment horizontal="right"/>
    </xf>
    <xf numFmtId="165" fontId="9" fillId="0" borderId="0" xfId="273" applyNumberFormat="1" applyFont="1" applyFill="1" applyBorder="1" applyAlignment="1" applyProtection="1">
      <alignment horizontal="center"/>
    </xf>
    <xf numFmtId="0" fontId="9" fillId="0" borderId="0" xfId="273" applyFont="1" applyFill="1" applyBorder="1" applyAlignment="1" applyProtection="1">
      <alignment horizontal="center"/>
    </xf>
    <xf numFmtId="0" fontId="31" fillId="0" borderId="0" xfId="0" applyFont="1" applyBorder="1" applyProtection="1"/>
    <xf numFmtId="0" fontId="11" fillId="0" borderId="0" xfId="273" applyFont="1" applyFill="1" applyBorder="1" applyAlignment="1" applyProtection="1">
      <alignment horizontal="left"/>
    </xf>
    <xf numFmtId="0" fontId="43" fillId="0" borderId="0" xfId="273" applyFont="1" applyAlignment="1" applyProtection="1">
      <alignment horizontal="center"/>
    </xf>
    <xf numFmtId="0" fontId="3" fillId="0" borderId="0" xfId="245"/>
    <xf numFmtId="0" fontId="11" fillId="0" borderId="6" xfId="0" applyFont="1" applyBorder="1"/>
    <xf numFmtId="0" fontId="52" fillId="0" borderId="0" xfId="0" applyFont="1"/>
    <xf numFmtId="0" fontId="52" fillId="0" borderId="0" xfId="0" applyFont="1" applyAlignment="1">
      <alignment vertical="top"/>
    </xf>
    <xf numFmtId="0" fontId="7" fillId="7" borderId="0" xfId="273" applyFont="1" applyFill="1" applyBorder="1" applyAlignment="1" applyProtection="1">
      <alignment horizontal="left"/>
      <protection locked="0"/>
    </xf>
    <xf numFmtId="0" fontId="25" fillId="0" borderId="0" xfId="273" applyFont="1" applyProtection="1"/>
    <xf numFmtId="0" fontId="10" fillId="0" borderId="0" xfId="0" applyFont="1" applyFill="1" applyBorder="1" applyAlignment="1" applyProtection="1">
      <alignment horizontal="left" vertical="center" shrinkToFit="1"/>
    </xf>
    <xf numFmtId="49" fontId="55" fillId="0" borderId="0" xfId="273" applyNumberFormat="1" applyFont="1" applyFill="1" applyBorder="1" applyAlignment="1" applyProtection="1">
      <alignment horizontal="center" vertical="center"/>
    </xf>
    <xf numFmtId="0" fontId="11" fillId="0" borderId="0" xfId="273" applyFill="1" applyProtection="1"/>
    <xf numFmtId="0" fontId="11" fillId="0" borderId="0" xfId="273" applyProtection="1"/>
    <xf numFmtId="0" fontId="56" fillId="0" borderId="0" xfId="273" applyFont="1" applyAlignment="1" applyProtection="1">
      <alignment vertical="center"/>
    </xf>
    <xf numFmtId="0" fontId="7" fillId="0" borderId="0" xfId="273" applyFont="1" applyFill="1" applyProtection="1"/>
    <xf numFmtId="0" fontId="7" fillId="0" borderId="5" xfId="273" applyFont="1" applyBorder="1" applyAlignment="1" applyProtection="1">
      <alignment vertical="center"/>
    </xf>
    <xf numFmtId="0" fontId="7" fillId="0" borderId="0" xfId="273" applyFont="1" applyAlignment="1" applyProtection="1">
      <alignment vertical="center"/>
    </xf>
    <xf numFmtId="0" fontId="7" fillId="0" borderId="5" xfId="273" applyFont="1" applyFill="1" applyBorder="1" applyAlignment="1" applyProtection="1">
      <alignment horizontal="center"/>
    </xf>
    <xf numFmtId="0" fontId="7" fillId="0" borderId="5" xfId="273" applyFont="1" applyBorder="1" applyProtection="1"/>
    <xf numFmtId="0" fontId="7" fillId="0" borderId="5" xfId="273" applyFont="1" applyBorder="1" applyAlignment="1" applyProtection="1">
      <alignment horizontal="center" vertical="center"/>
    </xf>
    <xf numFmtId="0" fontId="66" fillId="0" borderId="5" xfId="273" applyFont="1" applyBorder="1" applyAlignment="1" applyProtection="1">
      <alignment horizontal="right" vertical="center"/>
    </xf>
    <xf numFmtId="0" fontId="7" fillId="0" borderId="5" xfId="273" applyFont="1" applyBorder="1" applyAlignment="1" applyProtection="1">
      <alignment horizontal="right" vertical="center"/>
    </xf>
    <xf numFmtId="0" fontId="67" fillId="0" borderId="0" xfId="273" applyFont="1" applyFill="1" applyBorder="1" applyAlignment="1" applyProtection="1">
      <alignment horizontal="right" vertical="center"/>
    </xf>
    <xf numFmtId="0" fontId="59" fillId="0" borderId="0" xfId="273" applyFont="1" applyFill="1" applyBorder="1" applyProtection="1"/>
    <xf numFmtId="0" fontId="67" fillId="0" borderId="0" xfId="273" applyFont="1" applyFill="1" applyBorder="1" applyAlignment="1" applyProtection="1">
      <alignment horizontal="left" vertical="center"/>
    </xf>
    <xf numFmtId="0" fontId="7" fillId="0" borderId="0" xfId="273" applyFont="1" applyFill="1" applyBorder="1" applyProtection="1"/>
    <xf numFmtId="0" fontId="7" fillId="0" borderId="0" xfId="273" applyFont="1" applyBorder="1" applyProtection="1"/>
    <xf numFmtId="169" fontId="7" fillId="0" borderId="5" xfId="273" applyNumberFormat="1" applyFont="1" applyFill="1" applyBorder="1" applyAlignment="1" applyProtection="1"/>
    <xf numFmtId="169" fontId="7" fillId="0" borderId="0" xfId="273" applyNumberFormat="1" applyFont="1" applyFill="1" applyBorder="1" applyAlignment="1" applyProtection="1"/>
    <xf numFmtId="169" fontId="7" fillId="0" borderId="13" xfId="273" applyNumberFormat="1" applyFont="1" applyFill="1" applyBorder="1" applyAlignment="1" applyProtection="1"/>
    <xf numFmtId="169" fontId="7" fillId="0" borderId="0" xfId="273" applyNumberFormat="1" applyFont="1" applyFill="1" applyBorder="1" applyAlignment="1" applyProtection="1">
      <alignment horizontal="right"/>
    </xf>
    <xf numFmtId="0" fontId="41" fillId="0" borderId="0" xfId="273" applyFont="1" applyFill="1" applyAlignment="1" applyProtection="1">
      <alignment horizontal="right" vertical="center"/>
    </xf>
    <xf numFmtId="169" fontId="7" fillId="0" borderId="5" xfId="273" applyNumberFormat="1" applyFont="1" applyBorder="1" applyAlignment="1" applyProtection="1">
      <alignment horizontal="right"/>
    </xf>
    <xf numFmtId="0" fontId="56" fillId="0" borderId="0" xfId="273" applyFont="1" applyAlignment="1" applyProtection="1">
      <alignment horizontal="right"/>
    </xf>
    <xf numFmtId="0" fontId="56" fillId="0" borderId="0" xfId="273" applyFont="1" applyFill="1" applyAlignment="1" applyProtection="1">
      <alignment horizontal="right"/>
    </xf>
    <xf numFmtId="169" fontId="7" fillId="0" borderId="2" xfId="273" applyNumberFormat="1" applyFont="1" applyBorder="1" applyAlignment="1" applyProtection="1"/>
    <xf numFmtId="0" fontId="56" fillId="0" borderId="5" xfId="273" applyFont="1" applyBorder="1" applyAlignment="1" applyProtection="1">
      <alignment horizontal="right"/>
    </xf>
    <xf numFmtId="0" fontId="7" fillId="0" borderId="0" xfId="273" applyFont="1" applyProtection="1"/>
    <xf numFmtId="0" fontId="58" fillId="0" borderId="0" xfId="273" applyFont="1" applyFill="1" applyBorder="1" applyAlignment="1" applyProtection="1"/>
    <xf numFmtId="0" fontId="59" fillId="0" borderId="0" xfId="273" applyFont="1" applyFill="1" applyBorder="1" applyAlignment="1" applyProtection="1"/>
    <xf numFmtId="0" fontId="56" fillId="0" borderId="0" xfId="273" applyFont="1" applyBorder="1" applyAlignment="1" applyProtection="1">
      <alignment vertical="center"/>
    </xf>
    <xf numFmtId="0" fontId="7" fillId="0" borderId="0" xfId="273" applyFont="1" applyBorder="1" applyAlignment="1" applyProtection="1">
      <alignment horizontal="right" vertical="center"/>
    </xf>
    <xf numFmtId="0" fontId="7" fillId="0" borderId="0" xfId="273" applyFont="1" applyBorder="1" applyAlignment="1" applyProtection="1">
      <alignment horizontal="right"/>
    </xf>
    <xf numFmtId="0" fontId="56" fillId="0" borderId="0" xfId="273" applyFont="1" applyBorder="1" applyAlignment="1" applyProtection="1">
      <alignment vertical="center" wrapText="1"/>
    </xf>
    <xf numFmtId="0" fontId="7" fillId="0" borderId="0" xfId="273" applyFont="1" applyBorder="1" applyAlignment="1" applyProtection="1">
      <alignment vertical="center"/>
    </xf>
    <xf numFmtId="0" fontId="7" fillId="0" borderId="7" xfId="273" applyFont="1" applyBorder="1" applyProtection="1"/>
    <xf numFmtId="0" fontId="41" fillId="0" borderId="0" xfId="273" applyFont="1" applyFill="1" applyAlignment="1" applyProtection="1">
      <alignment horizontal="left"/>
    </xf>
    <xf numFmtId="9" fontId="7" fillId="0" borderId="5" xfId="273" applyNumberFormat="1" applyFont="1" applyFill="1" applyBorder="1" applyAlignment="1" applyProtection="1">
      <alignment horizontal="center"/>
    </xf>
    <xf numFmtId="9" fontId="7" fillId="0" borderId="5" xfId="273" quotePrefix="1" applyNumberFormat="1" applyFont="1" applyFill="1" applyBorder="1" applyAlignment="1" applyProtection="1">
      <alignment horizontal="center"/>
    </xf>
    <xf numFmtId="0" fontId="7" fillId="0" borderId="5" xfId="273" applyFont="1" applyBorder="1" applyAlignment="1" applyProtection="1">
      <alignment horizontal="center"/>
    </xf>
    <xf numFmtId="169" fontId="7" fillId="0" borderId="0" xfId="273" applyNumberFormat="1" applyFont="1" applyProtection="1"/>
    <xf numFmtId="6" fontId="7" fillId="0" borderId="0" xfId="273" applyNumberFormat="1" applyFont="1" applyProtection="1"/>
    <xf numFmtId="9" fontId="7" fillId="0" borderId="0" xfId="273" applyNumberFormat="1" applyFont="1" applyFill="1" applyBorder="1" applyAlignment="1" applyProtection="1"/>
    <xf numFmtId="165" fontId="7" fillId="0" borderId="5" xfId="273" applyNumberFormat="1" applyFont="1" applyBorder="1" applyAlignment="1" applyProtection="1">
      <alignment horizontal="right"/>
    </xf>
    <xf numFmtId="165" fontId="7" fillId="0" borderId="0" xfId="273" applyNumberFormat="1" applyFont="1" applyBorder="1" applyAlignment="1" applyProtection="1">
      <alignment horizontal="right"/>
    </xf>
    <xf numFmtId="2" fontId="7" fillId="0" borderId="0" xfId="273" applyNumberFormat="1" applyFont="1" applyProtection="1"/>
    <xf numFmtId="0" fontId="7" fillId="0" borderId="0" xfId="273" applyFont="1" applyBorder="1" applyAlignment="1" applyProtection="1">
      <alignment horizontal="center"/>
    </xf>
    <xf numFmtId="169" fontId="7" fillId="0" borderId="0" xfId="273" applyNumberFormat="1" applyFont="1" applyFill="1" applyAlignment="1" applyProtection="1">
      <alignment horizontal="center"/>
    </xf>
    <xf numFmtId="5" fontId="79" fillId="46" borderId="12" xfId="544" applyNumberFormat="1" applyFont="1" applyFill="1" applyBorder="1" applyAlignment="1" applyProtection="1">
      <alignment horizontal="center"/>
    </xf>
    <xf numFmtId="5" fontId="79" fillId="0" borderId="12" xfId="544" applyNumberFormat="1" applyFont="1" applyFill="1" applyBorder="1" applyAlignment="1" applyProtection="1">
      <alignment horizontal="center"/>
    </xf>
    <xf numFmtId="5" fontId="79" fillId="2" borderId="12" xfId="544" applyNumberFormat="1" applyFont="1" applyFill="1" applyBorder="1" applyAlignment="1" applyProtection="1">
      <alignment horizontal="center"/>
    </xf>
    <xf numFmtId="0" fontId="25" fillId="0" borderId="0" xfId="0" applyFont="1" applyBorder="1" applyAlignment="1" applyProtection="1">
      <alignment horizontal="right" vertical="top" wrapText="1"/>
    </xf>
    <xf numFmtId="0" fontId="16" fillId="0" borderId="0" xfId="0" applyFont="1" applyBorder="1" applyAlignment="1" applyProtection="1">
      <alignment horizontal="right" vertical="top" wrapText="1"/>
    </xf>
    <xf numFmtId="169" fontId="25" fillId="7" borderId="5" xfId="0" applyNumberFormat="1" applyFont="1" applyFill="1" applyBorder="1" applyAlignment="1" applyProtection="1">
      <alignment horizontal="right" vertical="top" wrapText="1"/>
      <protection locked="0"/>
    </xf>
    <xf numFmtId="169" fontId="25" fillId="0" borderId="5" xfId="0" applyNumberFormat="1" applyFont="1" applyBorder="1" applyAlignment="1" applyProtection="1">
      <alignment horizontal="right" vertical="top" wrapText="1"/>
    </xf>
    <xf numFmtId="0" fontId="11" fillId="0" borderId="0" xfId="0" applyFont="1" applyAlignment="1">
      <alignment vertical="top"/>
    </xf>
    <xf numFmtId="0" fontId="11" fillId="0" borderId="0" xfId="0" applyFont="1" applyBorder="1" applyAlignment="1" applyProtection="1">
      <alignment vertical="top" wrapText="1"/>
    </xf>
    <xf numFmtId="0" fontId="9" fillId="0" borderId="0" xfId="0" applyFont="1" applyBorder="1" applyAlignment="1" applyProtection="1">
      <alignment horizontal="left" vertical="top" wrapText="1"/>
    </xf>
    <xf numFmtId="0" fontId="11" fillId="0" borderId="0" xfId="0" applyFont="1" applyBorder="1" applyAlignment="1" applyProtection="1">
      <alignment horizontal="right" vertical="top" wrapText="1"/>
    </xf>
    <xf numFmtId="0" fontId="11" fillId="0" borderId="0" xfId="0" applyFont="1" applyBorder="1" applyAlignment="1" applyProtection="1">
      <alignment horizontal="left" vertical="top"/>
    </xf>
    <xf numFmtId="10" fontId="11" fillId="7" borderId="5" xfId="0" applyNumberFormat="1" applyFont="1" applyFill="1" applyBorder="1" applyAlignment="1" applyProtection="1">
      <alignment horizontal="center" vertical="top" wrapText="1"/>
      <protection locked="0"/>
    </xf>
    <xf numFmtId="0" fontId="49" fillId="0" borderId="18" xfId="0" applyFont="1" applyBorder="1" applyAlignment="1" applyProtection="1">
      <alignment vertical="top" wrapText="1"/>
    </xf>
    <xf numFmtId="0" fontId="49" fillId="2" borderId="18" xfId="0" applyFont="1" applyFill="1" applyBorder="1" applyAlignment="1" applyProtection="1">
      <alignment vertical="top" wrapText="1"/>
    </xf>
    <xf numFmtId="0" fontId="17" fillId="0" borderId="0" xfId="0" applyFont="1" applyBorder="1" applyAlignment="1" applyProtection="1">
      <alignment horizontal="left" vertical="center"/>
    </xf>
    <xf numFmtId="0" fontId="18" fillId="0" borderId="0" xfId="0" applyFont="1" applyBorder="1" applyAlignment="1" applyProtection="1">
      <alignment vertical="top" wrapText="1"/>
    </xf>
    <xf numFmtId="0" fontId="18" fillId="2" borderId="0" xfId="0" applyFont="1" applyFill="1" applyBorder="1" applyAlignment="1" applyProtection="1">
      <alignment vertical="top" wrapText="1"/>
    </xf>
    <xf numFmtId="0" fontId="81" fillId="0" borderId="0" xfId="546" applyFont="1" applyProtection="1"/>
    <xf numFmtId="0" fontId="9" fillId="0" borderId="2" xfId="546" applyFont="1" applyBorder="1" applyAlignment="1" applyProtection="1">
      <alignment horizontal="center"/>
    </xf>
    <xf numFmtId="0" fontId="9" fillId="0" borderId="0" xfId="546" applyFont="1" applyBorder="1" applyAlignment="1" applyProtection="1">
      <alignment horizontal="center"/>
    </xf>
    <xf numFmtId="49" fontId="0" fillId="0" borderId="0" xfId="0" applyNumberFormat="1" applyProtection="1"/>
    <xf numFmtId="0" fontId="81" fillId="0" borderId="0" xfId="0" applyFont="1" applyAlignment="1" applyProtection="1"/>
    <xf numFmtId="169" fontId="81" fillId="0" borderId="0" xfId="0" applyNumberFormat="1" applyFont="1" applyFill="1" applyBorder="1" applyAlignment="1" applyProtection="1">
      <alignment horizontal="left" vertical="top"/>
    </xf>
    <xf numFmtId="169" fontId="10" fillId="0" borderId="0" xfId="0" applyNumberFormat="1" applyFont="1" applyFill="1" applyBorder="1" applyAlignment="1" applyProtection="1">
      <alignment horizontal="left" vertical="top" wrapText="1"/>
    </xf>
    <xf numFmtId="0" fontId="81" fillId="0" borderId="0" xfId="0" applyFont="1" applyProtection="1"/>
    <xf numFmtId="0" fontId="3" fillId="0" borderId="0" xfId="245" quotePrefix="1" applyAlignment="1" applyProtection="1">
      <alignment horizontal="left"/>
    </xf>
    <xf numFmtId="0" fontId="107" fillId="0" borderId="0" xfId="0" applyFont="1" applyBorder="1" applyAlignment="1" applyProtection="1">
      <alignment horizontal="left" vertical="top"/>
    </xf>
    <xf numFmtId="0" fontId="25" fillId="0" borderId="0" xfId="0" applyFont="1" applyFill="1" applyBorder="1" applyAlignment="1" applyProtection="1">
      <alignment horizontal="left" vertical="top"/>
    </xf>
    <xf numFmtId="0" fontId="46" fillId="0" borderId="0" xfId="0" applyFont="1" applyFill="1" applyBorder="1" applyAlignment="1" applyProtection="1">
      <alignment horizontal="center"/>
    </xf>
    <xf numFmtId="0" fontId="46" fillId="0" borderId="0" xfId="0" applyFont="1" applyFill="1" applyBorder="1" applyAlignment="1" applyProtection="1">
      <alignment vertical="top"/>
    </xf>
    <xf numFmtId="0" fontId="76" fillId="0" borderId="0" xfId="0" applyFont="1" applyFill="1" applyBorder="1" applyAlignment="1" applyProtection="1">
      <alignment horizontal="left" vertical="top"/>
    </xf>
    <xf numFmtId="0" fontId="75" fillId="0" borderId="0" xfId="0" applyFont="1"/>
    <xf numFmtId="0" fontId="37" fillId="0" borderId="0" xfId="273" applyFont="1" applyFill="1" applyAlignment="1">
      <alignment horizontal="left"/>
    </xf>
    <xf numFmtId="0" fontId="16" fillId="0" borderId="13" xfId="0" applyFont="1" applyBorder="1" applyAlignment="1" applyProtection="1">
      <alignment vertical="top" wrapText="1"/>
      <protection locked="0"/>
    </xf>
    <xf numFmtId="0" fontId="9" fillId="0" borderId="0" xfId="0" applyFont="1" applyBorder="1" applyAlignment="1" applyProtection="1">
      <alignment horizontal="center" wrapText="1"/>
      <protection locked="0"/>
    </xf>
    <xf numFmtId="0" fontId="11" fillId="0" borderId="0" xfId="0" applyFont="1" applyFill="1" applyBorder="1" applyAlignment="1" applyProtection="1">
      <alignment vertical="top" wrapText="1"/>
      <protection locked="0"/>
    </xf>
    <xf numFmtId="0" fontId="11" fillId="0" borderId="0" xfId="0" applyFont="1" applyBorder="1" applyAlignment="1" applyProtection="1">
      <alignment vertical="top" wrapText="1"/>
      <protection locked="0"/>
    </xf>
    <xf numFmtId="0" fontId="9" fillId="0" borderId="0" xfId="0" applyFont="1" applyBorder="1" applyAlignment="1" applyProtection="1">
      <alignment vertical="top" wrapText="1"/>
      <protection locked="0"/>
    </xf>
    <xf numFmtId="0" fontId="9" fillId="9" borderId="12" xfId="545" applyFont="1" applyFill="1" applyBorder="1" applyAlignment="1" applyProtection="1">
      <alignment horizontal="left"/>
    </xf>
    <xf numFmtId="0" fontId="9" fillId="9" borderId="12" xfId="545" applyFont="1" applyFill="1" applyBorder="1" applyAlignment="1" applyProtection="1">
      <alignment horizontal="center"/>
    </xf>
    <xf numFmtId="0" fontId="65" fillId="9" borderId="12" xfId="545" applyFont="1" applyFill="1" applyBorder="1" applyAlignment="1" applyProtection="1">
      <alignment horizontal="left"/>
    </xf>
    <xf numFmtId="169" fontId="11" fillId="0" borderId="12" xfId="543" applyNumberFormat="1" applyBorder="1" applyAlignment="1" applyProtection="1">
      <alignment horizontal="center"/>
    </xf>
    <xf numFmtId="0" fontId="65" fillId="0" borderId="12" xfId="545" applyFont="1" applyBorder="1" applyAlignment="1" applyProtection="1">
      <alignment horizontal="left"/>
    </xf>
    <xf numFmtId="0" fontId="49" fillId="0" borderId="13" xfId="0" applyFont="1" applyBorder="1" applyAlignment="1" applyProtection="1">
      <alignment vertical="top" wrapText="1"/>
    </xf>
    <xf numFmtId="0" fontId="85" fillId="0" borderId="0" xfId="0" applyFont="1" applyFill="1" applyAlignment="1">
      <alignment horizontal="left"/>
    </xf>
    <xf numFmtId="0" fontId="46" fillId="0" borderId="0" xfId="0" applyFont="1" applyBorder="1" applyAlignment="1" applyProtection="1">
      <alignment vertical="top" wrapText="1"/>
    </xf>
    <xf numFmtId="0" fontId="46" fillId="0" borderId="12" xfId="0" applyFont="1" applyFill="1" applyBorder="1" applyAlignment="1" applyProtection="1">
      <alignment horizontal="right" vertical="top" wrapText="1"/>
    </xf>
    <xf numFmtId="0" fontId="16" fillId="0" borderId="7" xfId="0" applyFont="1" applyBorder="1" applyAlignment="1" applyProtection="1">
      <alignment vertical="top" wrapText="1"/>
    </xf>
    <xf numFmtId="0" fontId="25" fillId="0" borderId="7" xfId="0" applyFont="1" applyBorder="1" applyAlignment="1" applyProtection="1">
      <alignment vertical="top" wrapText="1"/>
    </xf>
    <xf numFmtId="0" fontId="46" fillId="0" borderId="7" xfId="0" applyFont="1" applyBorder="1" applyAlignment="1" applyProtection="1">
      <alignment vertical="top" wrapText="1"/>
    </xf>
    <xf numFmtId="0" fontId="49" fillId="0" borderId="7" xfId="0" applyFont="1" applyBorder="1" applyAlignment="1" applyProtection="1">
      <alignment vertical="top" wrapText="1"/>
    </xf>
    <xf numFmtId="0" fontId="25" fillId="0" borderId="13" xfId="0" applyFont="1" applyBorder="1" applyAlignment="1" applyProtection="1">
      <alignment vertical="top" wrapText="1"/>
    </xf>
    <xf numFmtId="6" fontId="25" fillId="6" borderId="12" xfId="0" applyNumberFormat="1" applyFont="1" applyFill="1" applyBorder="1" applyAlignment="1" applyProtection="1">
      <alignment vertical="top" wrapText="1"/>
    </xf>
    <xf numFmtId="6" fontId="25" fillId="0" borderId="12" xfId="0" applyNumberFormat="1" applyFont="1" applyFill="1" applyBorder="1" applyAlignment="1" applyProtection="1">
      <alignment vertical="top" wrapText="1"/>
    </xf>
    <xf numFmtId="6" fontId="25" fillId="7" borderId="12" xfId="0" applyNumberFormat="1" applyFont="1" applyFill="1" applyBorder="1" applyAlignment="1" applyProtection="1">
      <alignment vertical="top" wrapText="1"/>
      <protection locked="0"/>
    </xf>
    <xf numFmtId="6" fontId="25" fillId="8" borderId="12" xfId="0" applyNumberFormat="1" applyFont="1" applyFill="1" applyBorder="1" applyAlignment="1" applyProtection="1">
      <alignment horizontal="center" vertical="top" wrapText="1"/>
    </xf>
    <xf numFmtId="6" fontId="46" fillId="0" borderId="12" xfId="0" applyNumberFormat="1" applyFont="1" applyFill="1" applyBorder="1" applyAlignment="1" applyProtection="1">
      <alignment vertical="top" wrapText="1"/>
    </xf>
    <xf numFmtId="6" fontId="25" fillId="0" borderId="0" xfId="0" applyNumberFormat="1" applyFont="1" applyBorder="1" applyAlignment="1" applyProtection="1">
      <alignment horizontal="left" vertical="top"/>
    </xf>
    <xf numFmtId="6" fontId="25" fillId="0" borderId="0" xfId="0" applyNumberFormat="1" applyFont="1" applyBorder="1" applyAlignment="1" applyProtection="1">
      <alignment vertical="top" wrapText="1"/>
    </xf>
    <xf numFmtId="6" fontId="46" fillId="0" borderId="12" xfId="0" applyNumberFormat="1" applyFont="1" applyBorder="1" applyAlignment="1" applyProtection="1">
      <alignment vertical="top" wrapText="1"/>
    </xf>
    <xf numFmtId="0" fontId="3" fillId="0" borderId="0" xfId="245" applyFont="1" applyAlignment="1">
      <alignment horizontal="center"/>
    </xf>
    <xf numFmtId="0" fontId="3" fillId="0" borderId="0" xfId="245" applyFont="1" applyBorder="1" applyAlignment="1">
      <alignment horizontal="center"/>
    </xf>
    <xf numFmtId="0" fontId="3" fillId="0" borderId="0" xfId="245" applyFont="1" applyBorder="1" applyAlignment="1" applyProtection="1">
      <alignment horizontal="left"/>
    </xf>
    <xf numFmtId="0" fontId="11" fillId="0" borderId="3" xfId="259" applyBorder="1"/>
    <xf numFmtId="0" fontId="46" fillId="0" borderId="3" xfId="0" applyFont="1" applyBorder="1" applyAlignment="1" applyProtection="1">
      <alignment horizontal="left"/>
    </xf>
    <xf numFmtId="0" fontId="46" fillId="0" borderId="7" xfId="0" applyFont="1" applyBorder="1" applyAlignment="1" applyProtection="1">
      <alignment horizontal="center" wrapText="1"/>
    </xf>
    <xf numFmtId="0" fontId="46" fillId="0" borderId="0" xfId="0" applyFont="1" applyBorder="1" applyAlignment="1" applyProtection="1">
      <alignment horizontal="center" wrapText="1"/>
    </xf>
    <xf numFmtId="0" fontId="22" fillId="0" borderId="0" xfId="0" applyNumberFormat="1" applyFont="1" applyAlignment="1">
      <alignment vertical="top" wrapText="1"/>
    </xf>
    <xf numFmtId="169" fontId="0" fillId="0" borderId="0" xfId="0" applyNumberFormat="1" applyFill="1" applyBorder="1" applyAlignment="1">
      <alignment wrapText="1"/>
    </xf>
    <xf numFmtId="0" fontId="7" fillId="0" borderId="0" xfId="0" applyFont="1" applyProtection="1"/>
    <xf numFmtId="0" fontId="7" fillId="0" borderId="0" xfId="0" applyFont="1" applyBorder="1" applyProtection="1"/>
    <xf numFmtId="0" fontId="7" fillId="0" borderId="12" xfId="254" applyFont="1" applyFill="1" applyBorder="1" applyAlignment="1" applyProtection="1">
      <alignment horizontal="center" wrapText="1"/>
    </xf>
    <xf numFmtId="0" fontId="7" fillId="0" borderId="0" xfId="254" applyFont="1" applyFill="1" applyBorder="1" applyAlignment="1" applyProtection="1">
      <alignment horizontal="center" wrapText="1"/>
    </xf>
    <xf numFmtId="3" fontId="7" fillId="0" borderId="12" xfId="0" applyNumberFormat="1" applyFont="1" applyFill="1" applyBorder="1" applyProtection="1"/>
    <xf numFmtId="3" fontId="7" fillId="0" borderId="0" xfId="0" applyNumberFormat="1" applyFont="1" applyProtection="1"/>
    <xf numFmtId="3" fontId="7" fillId="0" borderId="12" xfId="0" applyNumberFormat="1" applyFont="1" applyBorder="1" applyProtection="1"/>
    <xf numFmtId="3" fontId="7" fillId="0" borderId="0" xfId="0" applyNumberFormat="1" applyFont="1" applyBorder="1" applyProtection="1"/>
    <xf numFmtId="0" fontId="56" fillId="0" borderId="0" xfId="0" applyFont="1" applyAlignment="1" applyProtection="1">
      <alignment horizontal="left"/>
    </xf>
    <xf numFmtId="0" fontId="56" fillId="0" borderId="0" xfId="0" applyFont="1" applyAlignment="1" applyProtection="1">
      <alignment horizontal="right"/>
    </xf>
    <xf numFmtId="169" fontId="7" fillId="0" borderId="12" xfId="0" applyNumberFormat="1" applyFont="1" applyBorder="1" applyProtection="1"/>
    <xf numFmtId="169" fontId="7" fillId="0" borderId="0" xfId="0" applyNumberFormat="1" applyFont="1" applyBorder="1" applyProtection="1"/>
    <xf numFmtId="3" fontId="7" fillId="12" borderId="12" xfId="0" applyNumberFormat="1" applyFont="1" applyFill="1" applyBorder="1" applyAlignment="1" applyProtection="1">
      <alignment horizontal="center"/>
      <protection locked="0"/>
    </xf>
    <xf numFmtId="0" fontId="11" fillId="0" borderId="0" xfId="273" applyFont="1" applyAlignment="1">
      <alignment horizontal="left" wrapText="1"/>
    </xf>
    <xf numFmtId="0" fontId="10" fillId="0" borderId="0" xfId="0" applyNumberFormat="1" applyFont="1" applyBorder="1" applyAlignment="1">
      <alignment vertical="top"/>
    </xf>
    <xf numFmtId="0" fontId="0" fillId="7" borderId="5" xfId="0" applyFill="1" applyBorder="1" applyAlignment="1" applyProtection="1">
      <protection locked="0"/>
    </xf>
    <xf numFmtId="0" fontId="21" fillId="0" borderId="0" xfId="0" applyFont="1" applyAlignment="1">
      <alignment wrapText="1"/>
    </xf>
    <xf numFmtId="0" fontId="11" fillId="0" borderId="4" xfId="0" applyFont="1" applyBorder="1" applyAlignment="1">
      <alignment horizontal="left"/>
    </xf>
    <xf numFmtId="0" fontId="11" fillId="0" borderId="4" xfId="0" applyFont="1" applyFill="1" applyBorder="1" applyAlignment="1">
      <alignment horizontal="left"/>
    </xf>
    <xf numFmtId="0" fontId="11" fillId="0" borderId="0" xfId="0" applyFont="1" applyFill="1" applyAlignment="1">
      <alignment vertical="top" wrapText="1"/>
    </xf>
    <xf numFmtId="0" fontId="68" fillId="0" borderId="0" xfId="0" applyFont="1" applyFill="1"/>
    <xf numFmtId="0" fontId="9" fillId="0" borderId="0" xfId="0" applyFont="1" applyAlignment="1">
      <alignment vertical="top"/>
    </xf>
    <xf numFmtId="0" fontId="11" fillId="0" borderId="0" xfId="0" applyFont="1" applyFill="1" applyAlignment="1">
      <alignment horizontal="left" vertical="top" wrapText="1"/>
    </xf>
    <xf numFmtId="4" fontId="11" fillId="0" borderId="0" xfId="273" applyNumberFormat="1" applyFont="1" applyFill="1" applyAlignment="1" applyProtection="1">
      <alignment horizontal="left" vertical="top" wrapText="1"/>
    </xf>
    <xf numFmtId="0" fontId="11" fillId="0" borderId="0" xfId="0" applyFont="1" applyAlignment="1">
      <alignment horizontal="left" vertical="top" wrapText="1"/>
    </xf>
    <xf numFmtId="0" fontId="11" fillId="0" borderId="0" xfId="0" applyFont="1" applyFill="1" applyAlignment="1">
      <alignment horizontal="left" vertical="top"/>
    </xf>
    <xf numFmtId="0" fontId="46" fillId="0" borderId="3" xfId="0" applyFont="1" applyFill="1" applyBorder="1" applyAlignment="1" applyProtection="1">
      <alignment horizontal="left"/>
    </xf>
    <xf numFmtId="0" fontId="46" fillId="0" borderId="4" xfId="0" applyFont="1" applyFill="1" applyBorder="1" applyAlignment="1" applyProtection="1">
      <alignment horizontal="right"/>
    </xf>
    <xf numFmtId="0" fontId="25" fillId="0" borderId="7" xfId="0" applyFont="1" applyBorder="1" applyProtection="1"/>
    <xf numFmtId="0" fontId="25" fillId="0" borderId="4" xfId="0" applyFont="1" applyFill="1" applyBorder="1" applyProtection="1"/>
    <xf numFmtId="0" fontId="25" fillId="0" borderId="4" xfId="0" applyFont="1" applyBorder="1" applyProtection="1"/>
    <xf numFmtId="0" fontId="25" fillId="0" borderId="3" xfId="0" applyFont="1" applyBorder="1" applyProtection="1"/>
    <xf numFmtId="0" fontId="25" fillId="0" borderId="1" xfId="0" applyFont="1" applyBorder="1" applyProtection="1"/>
    <xf numFmtId="0" fontId="25" fillId="0" borderId="0" xfId="0" applyFont="1" applyFill="1" applyBorder="1" applyProtection="1"/>
    <xf numFmtId="0" fontId="25" fillId="0" borderId="0" xfId="0" applyFont="1" applyBorder="1" applyProtection="1"/>
    <xf numFmtId="0" fontId="46" fillId="0" borderId="0" xfId="0" applyFont="1" applyFill="1" applyBorder="1" applyAlignment="1" applyProtection="1">
      <alignment horizontal="right"/>
    </xf>
    <xf numFmtId="0" fontId="46" fillId="0" borderId="9" xfId="0" applyFont="1" applyFill="1" applyBorder="1" applyAlignment="1" applyProtection="1">
      <alignment horizontal="left"/>
    </xf>
    <xf numFmtId="0" fontId="46" fillId="0" borderId="4" xfId="0" applyFont="1" applyBorder="1" applyProtection="1"/>
    <xf numFmtId="0" fontId="25" fillId="0" borderId="5" xfId="0" applyFont="1" applyFill="1" applyBorder="1" applyProtection="1"/>
    <xf numFmtId="0" fontId="25" fillId="0" borderId="5" xfId="0" applyFont="1" applyBorder="1" applyProtection="1"/>
    <xf numFmtId="0" fontId="46" fillId="0" borderId="5" xfId="0" applyFont="1" applyFill="1" applyBorder="1" applyAlignment="1" applyProtection="1">
      <alignment horizontal="right"/>
    </xf>
    <xf numFmtId="0" fontId="25" fillId="0" borderId="9" xfId="0" applyFont="1" applyBorder="1" applyProtection="1"/>
    <xf numFmtId="0" fontId="10" fillId="0" borderId="12" xfId="0" applyNumberFormat="1" applyFont="1" applyFill="1" applyBorder="1" applyAlignment="1" applyProtection="1">
      <alignment horizontal="center"/>
    </xf>
    <xf numFmtId="0" fontId="11" fillId="0" borderId="0" xfId="0" applyFont="1" applyFill="1" applyAlignment="1" applyProtection="1">
      <alignment horizontal="left" vertical="top" wrapText="1"/>
    </xf>
    <xf numFmtId="0" fontId="10" fillId="0" borderId="0" xfId="0" applyNumberFormat="1" applyFont="1" applyFill="1" applyBorder="1" applyAlignment="1" applyProtection="1">
      <alignment vertical="top" wrapText="1"/>
    </xf>
    <xf numFmtId="0" fontId="11" fillId="0" borderId="0" xfId="0" applyFont="1" applyAlignment="1">
      <alignment vertical="top" wrapText="1"/>
    </xf>
    <xf numFmtId="0" fontId="11" fillId="0" borderId="0" xfId="0" applyFont="1" applyAlignment="1">
      <alignment horizontal="left"/>
    </xf>
    <xf numFmtId="0" fontId="11" fillId="0" borderId="0" xfId="0" applyFont="1" applyAlignment="1">
      <alignment horizontal="left" vertical="top"/>
    </xf>
    <xf numFmtId="0" fontId="0" fillId="7" borderId="5" xfId="0" applyFill="1" applyBorder="1" applyAlignment="1" applyProtection="1">
      <protection locked="0"/>
    </xf>
    <xf numFmtId="0" fontId="11" fillId="0" borderId="0" xfId="0" applyFont="1" applyAlignment="1" applyProtection="1">
      <alignment horizontal="center"/>
    </xf>
    <xf numFmtId="0" fontId="9" fillId="0" borderId="0" xfId="0" applyFont="1" applyAlignment="1" applyProtection="1">
      <alignment horizontal="center"/>
    </xf>
    <xf numFmtId="0" fontId="11" fillId="0" borderId="0" xfId="0" applyFont="1" applyAlignment="1" applyProtection="1">
      <alignment horizontal="center"/>
    </xf>
    <xf numFmtId="0" fontId="3" fillId="0" borderId="0" xfId="245" applyNumberFormat="1" applyFill="1" applyAlignment="1" applyProtection="1">
      <alignment horizontal="left"/>
      <protection locked="0"/>
    </xf>
    <xf numFmtId="0" fontId="11" fillId="0" borderId="0" xfId="259" applyFont="1" applyFill="1" applyAlignment="1">
      <alignment horizontal="left" vertical="top" wrapText="1"/>
    </xf>
    <xf numFmtId="0" fontId="9" fillId="0" borderId="0" xfId="0" applyFont="1" applyAlignment="1"/>
    <xf numFmtId="0" fontId="11" fillId="0" borderId="0" xfId="0" applyFont="1" applyAlignment="1">
      <alignment horizontal="left" vertical="top" wrapText="1"/>
    </xf>
    <xf numFmtId="0" fontId="11" fillId="0" borderId="0" xfId="273" applyFont="1" applyAlignment="1" applyProtection="1">
      <alignment horizontal="left" vertical="top" wrapText="1"/>
    </xf>
    <xf numFmtId="0" fontId="11" fillId="0" borderId="0" xfId="0" applyFont="1" applyAlignment="1" applyProtection="1">
      <alignment horizontal="center"/>
    </xf>
    <xf numFmtId="0" fontId="0" fillId="7" borderId="5" xfId="0" applyFill="1" applyBorder="1" applyAlignment="1" applyProtection="1">
      <protection locked="0"/>
    </xf>
    <xf numFmtId="0" fontId="11" fillId="0" borderId="0" xfId="0" applyFont="1" applyBorder="1" applyAlignment="1">
      <alignment horizontal="left"/>
    </xf>
    <xf numFmtId="0" fontId="11" fillId="0" borderId="0" xfId="273" applyFont="1" applyBorder="1" applyAlignment="1" applyProtection="1">
      <alignment horizontal="left" vertical="top" wrapText="1"/>
    </xf>
    <xf numFmtId="0" fontId="11" fillId="0" borderId="0" xfId="273" applyFont="1" applyFill="1" applyAlignment="1">
      <alignment horizontal="left"/>
    </xf>
    <xf numFmtId="0" fontId="9" fillId="0" borderId="0" xfId="0" applyFont="1" applyAlignment="1" applyProtection="1">
      <alignment horizontal="center"/>
    </xf>
    <xf numFmtId="0" fontId="7" fillId="7" borderId="0" xfId="273" applyFont="1" applyFill="1" applyBorder="1" applyAlignment="1" applyProtection="1">
      <protection locked="0"/>
    </xf>
    <xf numFmtId="0" fontId="25" fillId="0" borderId="12" xfId="0" applyFont="1" applyBorder="1" applyAlignment="1" applyProtection="1">
      <alignment horizontal="right" vertical="top"/>
    </xf>
    <xf numFmtId="0" fontId="108" fillId="0" borderId="4" xfId="273" applyFont="1" applyFill="1" applyBorder="1" applyAlignment="1" applyProtection="1"/>
    <xf numFmtId="0" fontId="108" fillId="0" borderId="5" xfId="273" applyFont="1" applyFill="1" applyBorder="1" applyAlignment="1" applyProtection="1"/>
    <xf numFmtId="169" fontId="108" fillId="7" borderId="5" xfId="273" applyNumberFormat="1" applyFont="1" applyFill="1" applyBorder="1" applyAlignment="1" applyProtection="1">
      <alignment horizontal="right"/>
      <protection locked="0"/>
    </xf>
    <xf numFmtId="169" fontId="7" fillId="7" borderId="4" xfId="273" applyNumberFormat="1" applyFont="1" applyFill="1" applyBorder="1" applyAlignment="1" applyProtection="1">
      <alignment horizontal="right"/>
      <protection locked="0"/>
    </xf>
    <xf numFmtId="0" fontId="108" fillId="0" borderId="0" xfId="273" applyFont="1" applyFill="1" applyBorder="1" applyAlignment="1" applyProtection="1"/>
    <xf numFmtId="0" fontId="7" fillId="7" borderId="5" xfId="273" applyFont="1" applyFill="1" applyBorder="1" applyAlignment="1" applyProtection="1">
      <protection locked="0"/>
    </xf>
    <xf numFmtId="0" fontId="7" fillId="0" borderId="2" xfId="273" applyFont="1" applyBorder="1" applyAlignment="1" applyProtection="1"/>
    <xf numFmtId="0" fontId="56" fillId="0" borderId="2" xfId="273" applyFont="1" applyBorder="1" applyAlignment="1" applyProtection="1">
      <alignment vertical="center"/>
    </xf>
    <xf numFmtId="169" fontId="7" fillId="0" borderId="2" xfId="273" applyNumberFormat="1" applyFont="1" applyFill="1" applyBorder="1" applyAlignment="1" applyProtection="1"/>
    <xf numFmtId="169" fontId="7" fillId="0" borderId="0" xfId="273" applyNumberFormat="1" applyFont="1" applyAlignment="1" applyProtection="1">
      <alignment horizontal="right"/>
    </xf>
    <xf numFmtId="6" fontId="7" fillId="0" borderId="12" xfId="273" applyNumberFormat="1" applyFont="1" applyBorder="1" applyAlignment="1" applyProtection="1">
      <alignment horizontal="right"/>
    </xf>
    <xf numFmtId="0" fontId="7" fillId="0" borderId="5" xfId="273" applyFont="1" applyFill="1" applyBorder="1" applyAlignment="1" applyProtection="1">
      <alignment horizontal="center" vertical="center"/>
    </xf>
    <xf numFmtId="1" fontId="7" fillId="0" borderId="4" xfId="273" applyNumberFormat="1" applyFont="1" applyFill="1" applyBorder="1" applyAlignment="1" applyProtection="1">
      <alignment horizontal="center" vertical="center"/>
    </xf>
    <xf numFmtId="2" fontId="7" fillId="0" borderId="5" xfId="273" applyNumberFormat="1" applyFont="1" applyBorder="1" applyAlignment="1" applyProtection="1">
      <alignment horizontal="center" vertical="center"/>
    </xf>
    <xf numFmtId="0" fontId="11" fillId="0" borderId="0" xfId="0" applyFont="1" applyAlignment="1">
      <alignment horizontal="left" wrapText="1"/>
    </xf>
    <xf numFmtId="0" fontId="11" fillId="0" borderId="0" xfId="0" quotePrefix="1" applyFont="1" applyAlignment="1">
      <alignment horizontal="left" vertical="top"/>
    </xf>
    <xf numFmtId="0" fontId="9" fillId="0" borderId="0" xfId="0" applyFont="1" applyAlignment="1">
      <alignment horizontal="left" vertical="top" wrapText="1"/>
    </xf>
    <xf numFmtId="0" fontId="21" fillId="0" borderId="0" xfId="0" applyFont="1" applyAlignment="1">
      <alignment horizontal="left"/>
    </xf>
    <xf numFmtId="0" fontId="37" fillId="0" borderId="0" xfId="0" applyFont="1" applyAlignment="1">
      <alignment horizontal="left"/>
    </xf>
    <xf numFmtId="4" fontId="11" fillId="0" borderId="0" xfId="273" applyNumberFormat="1" applyFont="1" applyFill="1" applyAlignment="1" applyProtection="1">
      <alignment horizontal="left" vertical="top" wrapText="1"/>
    </xf>
    <xf numFmtId="0" fontId="0" fillId="7" borderId="5" xfId="0" applyFill="1" applyBorder="1" applyAlignment="1" applyProtection="1">
      <protection locked="0"/>
    </xf>
    <xf numFmtId="0" fontId="9" fillId="0" borderId="8" xfId="0" applyFont="1" applyFill="1" applyBorder="1" applyAlignment="1" applyProtection="1">
      <alignment horizontal="right"/>
    </xf>
    <xf numFmtId="0" fontId="11" fillId="0" borderId="0" xfId="0" applyFont="1" applyAlignment="1" applyProtection="1">
      <alignment horizontal="center"/>
    </xf>
    <xf numFmtId="0" fontId="9" fillId="0" borderId="0" xfId="0" applyFont="1" applyFill="1" applyBorder="1" applyAlignment="1" applyProtection="1">
      <alignment horizontal="center" vertical="top"/>
    </xf>
    <xf numFmtId="0" fontId="10" fillId="0" borderId="0" xfId="0" applyFont="1" applyFill="1" applyBorder="1" applyAlignment="1" applyProtection="1">
      <alignment horizontal="left" vertical="top" wrapText="1"/>
    </xf>
    <xf numFmtId="0" fontId="10" fillId="0" borderId="0" xfId="0" applyFont="1" applyFill="1" applyBorder="1" applyAlignment="1" applyProtection="1">
      <alignment horizontal="left" vertical="top" wrapText="1" shrinkToFit="1"/>
    </xf>
    <xf numFmtId="0" fontId="11" fillId="0" borderId="0" xfId="0" applyFont="1" applyAlignment="1">
      <alignment horizontal="left" vertical="top" wrapText="1"/>
    </xf>
    <xf numFmtId="0" fontId="21" fillId="0" borderId="0" xfId="0" applyFont="1" applyAlignment="1">
      <alignment horizontal="left"/>
    </xf>
    <xf numFmtId="0" fontId="11" fillId="0" borderId="0" xfId="0" applyFont="1" applyAlignment="1" applyProtection="1">
      <alignment horizontal="center"/>
    </xf>
    <xf numFmtId="0" fontId="0" fillId="7" borderId="5" xfId="0" applyFill="1" applyBorder="1" applyAlignment="1" applyProtection="1">
      <protection locked="0"/>
    </xf>
    <xf numFmtId="0" fontId="11" fillId="0" borderId="0" xfId="547" applyFont="1" applyProtection="1"/>
    <xf numFmtId="169" fontId="11" fillId="0" borderId="0" xfId="547" applyNumberFormat="1" applyFont="1" applyProtection="1"/>
    <xf numFmtId="0" fontId="10" fillId="0" borderId="0" xfId="0" quotePrefix="1" applyNumberFormat="1" applyFont="1" applyProtection="1"/>
    <xf numFmtId="0" fontId="0" fillId="7" borderId="5" xfId="0" applyFill="1" applyBorder="1" applyAlignment="1" applyProtection="1">
      <protection locked="0"/>
    </xf>
    <xf numFmtId="0" fontId="9" fillId="0" borderId="0" xfId="0" applyFont="1" applyAlignment="1" applyProtection="1">
      <alignment horizontal="center"/>
    </xf>
    <xf numFmtId="1" fontId="0" fillId="0" borderId="0" xfId="0" applyNumberFormat="1" applyBorder="1"/>
    <xf numFmtId="169" fontId="2" fillId="0" borderId="0" xfId="546" applyNumberFormat="1" applyFont="1" applyBorder="1" applyProtection="1"/>
    <xf numFmtId="165" fontId="7" fillId="0" borderId="0" xfId="273" applyNumberFormat="1" applyFont="1" applyFill="1" applyProtection="1"/>
    <xf numFmtId="0" fontId="2" fillId="0" borderId="0" xfId="546" applyFont="1" applyAlignment="1" applyProtection="1">
      <alignment vertical="top"/>
    </xf>
    <xf numFmtId="0" fontId="10" fillId="0" borderId="0" xfId="0" applyFont="1" applyAlignment="1" applyProtection="1">
      <alignment horizontal="right" vertical="top"/>
    </xf>
    <xf numFmtId="169" fontId="2" fillId="0" borderId="0" xfId="546" applyNumberFormat="1" applyFont="1" applyAlignment="1" applyProtection="1">
      <alignment vertical="top"/>
    </xf>
    <xf numFmtId="0" fontId="66" fillId="0" borderId="0" xfId="273" applyFont="1" applyAlignment="1" applyProtection="1">
      <alignment horizontal="right" vertical="center"/>
    </xf>
    <xf numFmtId="0" fontId="7" fillId="0" borderId="0" xfId="273" applyFont="1" applyAlignment="1" applyProtection="1">
      <alignment horizontal="center" vertical="center"/>
    </xf>
    <xf numFmtId="0" fontId="7" fillId="0" borderId="0" xfId="273" applyFont="1" applyAlignment="1" applyProtection="1">
      <alignment horizontal="right" vertical="center"/>
    </xf>
    <xf numFmtId="0" fontId="7" fillId="0" borderId="0" xfId="273" applyFont="1" applyFill="1" applyBorder="1" applyAlignment="1" applyProtection="1">
      <alignment horizontal="center"/>
    </xf>
    <xf numFmtId="0" fontId="56" fillId="0" borderId="0" xfId="273" applyFont="1" applyFill="1" applyAlignment="1" applyProtection="1">
      <alignment horizontal="left" vertical="top" wrapText="1"/>
    </xf>
    <xf numFmtId="0" fontId="7" fillId="0" borderId="0" xfId="273" applyFont="1" applyFill="1" applyBorder="1" applyAlignment="1" applyProtection="1">
      <alignment horizontal="left"/>
    </xf>
    <xf numFmtId="0" fontId="7" fillId="0" borderId="0" xfId="273" applyFont="1" applyAlignment="1" applyProtection="1">
      <alignment horizontal="right"/>
    </xf>
    <xf numFmtId="0" fontId="7" fillId="0" borderId="0" xfId="273" applyFont="1" applyAlignment="1" applyProtection="1">
      <alignment horizontal="left" vertical="top" wrapText="1"/>
    </xf>
    <xf numFmtId="169" fontId="7" fillId="7" borderId="5" xfId="273" applyNumberFormat="1" applyFont="1" applyFill="1" applyBorder="1" applyAlignment="1" applyProtection="1">
      <alignment horizontal="right"/>
      <protection locked="0"/>
    </xf>
    <xf numFmtId="0" fontId="66" fillId="0" borderId="0" xfId="273" applyFont="1" applyAlignment="1" applyProtection="1">
      <alignment horizontal="right" vertical="center"/>
    </xf>
    <xf numFmtId="0" fontId="7" fillId="0" borderId="0" xfId="273" applyFont="1" applyAlignment="1" applyProtection="1">
      <alignment horizontal="center" vertical="center"/>
    </xf>
    <xf numFmtId="0" fontId="7" fillId="0" borderId="0" xfId="273" applyFont="1" applyAlignment="1" applyProtection="1">
      <alignment horizontal="right" vertical="center"/>
    </xf>
    <xf numFmtId="0" fontId="56" fillId="0" borderId="0" xfId="273" applyFont="1" applyAlignment="1" applyProtection="1">
      <alignment horizontal="left" vertical="top" wrapText="1"/>
    </xf>
    <xf numFmtId="0" fontId="56" fillId="0" borderId="0" xfId="273" applyFont="1" applyBorder="1" applyAlignment="1" applyProtection="1">
      <alignment horizontal="left" vertical="top" wrapText="1"/>
    </xf>
    <xf numFmtId="0" fontId="11" fillId="0" borderId="0" xfId="0" applyFont="1" applyAlignment="1">
      <alignment horizontal="left"/>
    </xf>
    <xf numFmtId="49" fontId="11" fillId="0" borderId="0" xfId="0" applyNumberFormat="1" applyFont="1" applyFill="1" applyAlignment="1">
      <alignment horizontal="left" vertical="top" wrapText="1"/>
    </xf>
    <xf numFmtId="4" fontId="11" fillId="0" borderId="0" xfId="0" applyNumberFormat="1" applyFont="1" applyFill="1" applyAlignment="1" applyProtection="1">
      <alignment horizontal="left" vertical="top" wrapText="1"/>
    </xf>
    <xf numFmtId="0" fontId="9" fillId="0" borderId="0" xfId="0" applyFont="1" applyAlignment="1" applyProtection="1">
      <alignment horizontal="center"/>
    </xf>
    <xf numFmtId="1" fontId="7" fillId="7" borderId="5" xfId="273" applyNumberFormat="1" applyFont="1" applyFill="1" applyBorder="1" applyAlignment="1" applyProtection="1">
      <alignment vertical="center"/>
      <protection locked="0"/>
    </xf>
    <xf numFmtId="3" fontId="7" fillId="0" borderId="0" xfId="273" applyNumberFormat="1" applyFont="1" applyFill="1" applyBorder="1" applyAlignment="1" applyProtection="1">
      <alignment horizontal="center"/>
    </xf>
    <xf numFmtId="3" fontId="7" fillId="0" borderId="5" xfId="273" applyNumberFormat="1" applyFont="1" applyFill="1" applyBorder="1" applyAlignment="1" applyProtection="1">
      <alignment horizontal="center"/>
    </xf>
    <xf numFmtId="0" fontId="10" fillId="0" borderId="11" xfId="0" applyFont="1" applyBorder="1" applyProtection="1"/>
    <xf numFmtId="0" fontId="11" fillId="0" borderId="0" xfId="0" applyFont="1" applyBorder="1" applyAlignment="1">
      <alignment horizontal="left"/>
    </xf>
    <xf numFmtId="0" fontId="11" fillId="0" borderId="0" xfId="0" applyFont="1" applyFill="1" applyBorder="1" applyAlignment="1">
      <alignment horizontal="left" vertical="top" wrapText="1"/>
    </xf>
    <xf numFmtId="0" fontId="9" fillId="0" borderId="4" xfId="0" applyFont="1" applyBorder="1" applyAlignment="1">
      <alignment horizontal="right"/>
    </xf>
    <xf numFmtId="0" fontId="9" fillId="0" borderId="4" xfId="0" applyFont="1" applyBorder="1"/>
    <xf numFmtId="0" fontId="35" fillId="0" borderId="0" xfId="0" applyFont="1" applyBorder="1"/>
    <xf numFmtId="0" fontId="0" fillId="0" borderId="0" xfId="0" applyFill="1" applyBorder="1" applyAlignment="1"/>
    <xf numFmtId="0" fontId="35" fillId="0" borderId="0" xfId="0" applyFont="1" applyFill="1" applyBorder="1"/>
    <xf numFmtId="0" fontId="35" fillId="0" borderId="0" xfId="0" applyNumberFormat="1" applyFont="1" applyBorder="1"/>
    <xf numFmtId="0" fontId="40" fillId="0" borderId="0" xfId="0" applyFont="1" applyBorder="1"/>
    <xf numFmtId="0" fontId="0" fillId="0" borderId="0" xfId="0" applyFill="1" applyBorder="1" applyAlignment="1">
      <alignment horizontal="left"/>
    </xf>
    <xf numFmtId="0" fontId="0" fillId="0" borderId="0" xfId="0" applyBorder="1" applyAlignment="1">
      <alignment horizontal="right"/>
    </xf>
    <xf numFmtId="0" fontId="11" fillId="0" borderId="0" xfId="273" applyFont="1" applyBorder="1"/>
    <xf numFmtId="0" fontId="11" fillId="0" borderId="0" xfId="273" applyBorder="1"/>
    <xf numFmtId="0" fontId="9" fillId="0" borderId="0" xfId="273" applyFont="1" applyBorder="1"/>
    <xf numFmtId="0" fontId="20" fillId="0" borderId="0" xfId="0" applyFont="1" applyBorder="1"/>
    <xf numFmtId="0" fontId="39" fillId="0" borderId="0" xfId="0" applyFont="1" applyBorder="1"/>
    <xf numFmtId="0" fontId="37" fillId="0" borderId="0" xfId="0" applyFont="1" applyBorder="1"/>
    <xf numFmtId="0" fontId="9" fillId="0" borderId="0" xfId="0" applyNumberFormat="1" applyFont="1" applyBorder="1"/>
    <xf numFmtId="0" fontId="35" fillId="0" borderId="0" xfId="273" applyFont="1" applyBorder="1"/>
    <xf numFmtId="0" fontId="2" fillId="0" borderId="0" xfId="0" applyFont="1" applyFill="1" applyBorder="1"/>
    <xf numFmtId="0" fontId="23" fillId="0" borderId="0" xfId="0" applyFont="1" applyFill="1" applyBorder="1"/>
    <xf numFmtId="0" fontId="31" fillId="0" borderId="0" xfId="0" applyFont="1" applyFill="1" applyBorder="1"/>
    <xf numFmtId="0" fontId="44" fillId="0" borderId="0" xfId="0" applyFont="1" applyFill="1" applyBorder="1"/>
    <xf numFmtId="49" fontId="0" fillId="0" borderId="0" xfId="0" applyNumberFormat="1" applyFill="1" applyProtection="1"/>
    <xf numFmtId="0" fontId="46" fillId="0" borderId="12" xfId="0" applyFont="1" applyBorder="1" applyAlignment="1" applyProtection="1">
      <alignment horizontal="center" wrapText="1"/>
    </xf>
    <xf numFmtId="0" fontId="0" fillId="0" borderId="0" xfId="0"/>
    <xf numFmtId="0" fontId="9" fillId="0" borderId="0" xfId="0" applyFont="1" applyAlignment="1" applyProtection="1">
      <alignment horizontal="center"/>
    </xf>
    <xf numFmtId="0" fontId="0" fillId="0" borderId="0" xfId="0" applyFill="1" applyBorder="1" applyAlignment="1" applyProtection="1">
      <alignment horizontal="center"/>
    </xf>
    <xf numFmtId="169" fontId="7" fillId="0" borderId="2" xfId="273" applyNumberFormat="1" applyFont="1" applyBorder="1" applyProtection="1"/>
    <xf numFmtId="0" fontId="7" fillId="0" borderId="0" xfId="0" applyFont="1" applyBorder="1" applyAlignment="1">
      <alignment horizontal="left" vertical="center" wrapText="1"/>
    </xf>
    <xf numFmtId="0" fontId="25" fillId="0" borderId="0" xfId="0" applyFont="1" applyBorder="1" applyAlignment="1" applyProtection="1">
      <alignment vertical="top" wrapText="1"/>
    </xf>
    <xf numFmtId="0" fontId="7" fillId="0" borderId="0" xfId="0" applyFont="1" applyBorder="1" applyAlignment="1">
      <alignment horizontal="left"/>
    </xf>
    <xf numFmtId="1" fontId="7" fillId="0" borderId="5" xfId="0" applyNumberFormat="1" applyFont="1" applyFill="1" applyBorder="1" applyAlignment="1">
      <alignment horizontal="left" vertical="center" wrapText="1"/>
    </xf>
    <xf numFmtId="0" fontId="7" fillId="0" borderId="5" xfId="0" applyFont="1" applyFill="1" applyBorder="1" applyAlignment="1" applyProtection="1">
      <alignment horizontal="left" wrapText="1"/>
    </xf>
    <xf numFmtId="0" fontId="7" fillId="0" borderId="0" xfId="0" applyFont="1" applyBorder="1" applyAlignment="1" applyProtection="1">
      <alignment horizontal="left"/>
    </xf>
    <xf numFmtId="0" fontId="7" fillId="0" borderId="5" xfId="0" applyFont="1" applyFill="1" applyBorder="1" applyAlignment="1" applyProtection="1">
      <alignment horizontal="left" vertical="center" wrapText="1"/>
    </xf>
    <xf numFmtId="49" fontId="7" fillId="0" borderId="9" xfId="0" applyNumberFormat="1" applyFont="1" applyBorder="1"/>
    <xf numFmtId="0" fontId="7" fillId="0" borderId="5" xfId="0" applyFont="1" applyFill="1" applyBorder="1"/>
    <xf numFmtId="0" fontId="7" fillId="0" borderId="10" xfId="0" applyFont="1" applyFill="1" applyBorder="1"/>
    <xf numFmtId="0" fontId="11" fillId="0" borderId="0" xfId="0" applyFont="1" applyFill="1" applyAlignment="1">
      <alignment horizontal="left" vertical="top" wrapText="1"/>
    </xf>
    <xf numFmtId="0" fontId="0" fillId="7" borderId="5" xfId="0" applyFill="1" applyBorder="1" applyAlignment="1" applyProtection="1">
      <protection locked="0"/>
    </xf>
    <xf numFmtId="0" fontId="9" fillId="0" borderId="0" xfId="0" applyFont="1" applyAlignment="1" applyProtection="1">
      <alignment horizontal="center"/>
    </xf>
    <xf numFmtId="0" fontId="2" fillId="0" borderId="0" xfId="0" applyFont="1" applyFill="1" applyBorder="1" applyProtection="1"/>
    <xf numFmtId="0" fontId="2" fillId="0" borderId="0" xfId="0" applyFont="1" applyFill="1" applyAlignment="1" applyProtection="1">
      <alignment horizontal="left" vertical="top"/>
    </xf>
    <xf numFmtId="0" fontId="0" fillId="0" borderId="0" xfId="0"/>
    <xf numFmtId="0" fontId="69" fillId="49" borderId="18" xfId="0" applyFont="1" applyFill="1" applyBorder="1" applyAlignment="1" applyProtection="1">
      <alignment horizontal="center" vertical="center" wrapText="1"/>
    </xf>
    <xf numFmtId="49" fontId="69" fillId="49" borderId="18" xfId="0" applyNumberFormat="1" applyFont="1" applyFill="1" applyBorder="1" applyAlignment="1" applyProtection="1">
      <alignment horizontal="center" vertical="center" wrapText="1"/>
    </xf>
    <xf numFmtId="0" fontId="9" fillId="46" borderId="7" xfId="0" applyFont="1" applyFill="1" applyBorder="1" applyAlignment="1"/>
    <xf numFmtId="0" fontId="0" fillId="46" borderId="0" xfId="0" applyFill="1" applyBorder="1" applyAlignment="1"/>
    <xf numFmtId="49" fontId="9" fillId="46" borderId="7" xfId="0" applyNumberFormat="1" applyFont="1" applyFill="1" applyBorder="1"/>
    <xf numFmtId="0" fontId="7" fillId="46" borderId="0" xfId="0" applyFont="1" applyFill="1" applyBorder="1"/>
    <xf numFmtId="0" fontId="7" fillId="49" borderId="17" xfId="0" applyFont="1" applyFill="1" applyBorder="1" applyProtection="1"/>
    <xf numFmtId="3" fontId="7" fillId="49" borderId="17" xfId="0" applyNumberFormat="1" applyFont="1" applyFill="1" applyBorder="1" applyProtection="1"/>
    <xf numFmtId="49" fontId="7" fillId="49" borderId="17" xfId="0" applyNumberFormat="1" applyFont="1" applyFill="1" applyBorder="1" applyProtection="1"/>
    <xf numFmtId="49" fontId="56" fillId="46" borderId="7" xfId="0" applyNumberFormat="1" applyFont="1" applyFill="1" applyBorder="1"/>
    <xf numFmtId="0" fontId="7" fillId="49" borderId="17" xfId="0" applyFont="1" applyFill="1" applyBorder="1" applyProtection="1">
      <protection locked="0"/>
    </xf>
    <xf numFmtId="3" fontId="7" fillId="49" borderId="17" xfId="0" applyNumberFormat="1" applyFont="1" applyFill="1" applyBorder="1" applyProtection="1">
      <protection locked="0"/>
    </xf>
    <xf numFmtId="49" fontId="7" fillId="49" borderId="17" xfId="0" applyNumberFormat="1" applyFont="1" applyFill="1" applyBorder="1" applyProtection="1">
      <protection locked="0"/>
    </xf>
    <xf numFmtId="0" fontId="7" fillId="7" borderId="13" xfId="0" applyFont="1" applyFill="1" applyBorder="1" applyProtection="1">
      <protection locked="0"/>
    </xf>
    <xf numFmtId="0" fontId="7" fillId="0" borderId="13" xfId="0" applyFont="1" applyFill="1" applyBorder="1"/>
    <xf numFmtId="0" fontId="7" fillId="0" borderId="9" xfId="0" applyFont="1" applyBorder="1"/>
    <xf numFmtId="0" fontId="111" fillId="0" borderId="0" xfId="0" applyFont="1" applyBorder="1" applyAlignment="1" applyProtection="1">
      <alignment horizontal="left" vertical="top"/>
    </xf>
    <xf numFmtId="169" fontId="25" fillId="48" borderId="12" xfId="0" applyNumberFormat="1" applyFont="1" applyFill="1" applyBorder="1" applyAlignment="1" applyProtection="1">
      <alignment vertical="top" wrapText="1"/>
    </xf>
    <xf numFmtId="6" fontId="25" fillId="48" borderId="12" xfId="0" applyNumberFormat="1" applyFont="1" applyFill="1" applyBorder="1" applyAlignment="1" applyProtection="1">
      <alignment vertical="top" wrapText="1"/>
    </xf>
    <xf numFmtId="0" fontId="25" fillId="0" borderId="0" xfId="0" applyFont="1"/>
    <xf numFmtId="0" fontId="3" fillId="0" borderId="0" xfId="245" applyAlignment="1" applyProtection="1"/>
    <xf numFmtId="0" fontId="0" fillId="0" borderId="0" xfId="0" applyAlignment="1" applyProtection="1">
      <alignment wrapText="1"/>
    </xf>
    <xf numFmtId="0" fontId="11" fillId="0" borderId="0" xfId="0" applyFont="1" applyAlignment="1" applyProtection="1">
      <alignment wrapText="1"/>
    </xf>
    <xf numFmtId="0" fontId="9" fillId="0" borderId="0" xfId="0" applyFont="1" applyAlignment="1" applyProtection="1">
      <alignment horizontal="center"/>
    </xf>
    <xf numFmtId="0" fontId="11" fillId="0" borderId="0" xfId="0" applyFont="1" applyAlignment="1">
      <alignment horizontal="left" vertical="top" wrapText="1"/>
    </xf>
    <xf numFmtId="49" fontId="11" fillId="0" borderId="0" xfId="0" applyNumberFormat="1" applyFont="1" applyAlignment="1">
      <alignment horizontal="left" vertical="top" wrapText="1"/>
    </xf>
    <xf numFmtId="0" fontId="0" fillId="7" borderId="5" xfId="0" applyFill="1" applyBorder="1" applyAlignment="1" applyProtection="1">
      <protection locked="0"/>
    </xf>
    <xf numFmtId="173" fontId="2" fillId="0" borderId="7" xfId="546" applyNumberFormat="1" applyFont="1" applyBorder="1" applyProtection="1"/>
    <xf numFmtId="0" fontId="11" fillId="0" borderId="7" xfId="0" applyFont="1" applyBorder="1" applyProtection="1"/>
    <xf numFmtId="0" fontId="9" fillId="0" borderId="7" xfId="0" applyFont="1" applyBorder="1" applyProtection="1"/>
    <xf numFmtId="0" fontId="11" fillId="0" borderId="7" xfId="0" applyFont="1" applyFill="1" applyBorder="1" applyProtection="1"/>
    <xf numFmtId="0" fontId="12" fillId="0" borderId="7" xfId="0" applyFont="1" applyBorder="1" applyAlignment="1" applyProtection="1">
      <alignment horizontal="center"/>
    </xf>
    <xf numFmtId="0" fontId="10" fillId="0" borderId="7" xfId="0" applyFont="1" applyFill="1" applyBorder="1" applyProtection="1"/>
    <xf numFmtId="0" fontId="25" fillId="0" borderId="7" xfId="0" applyFont="1" applyFill="1" applyBorder="1" applyAlignment="1" applyProtection="1"/>
    <xf numFmtId="0" fontId="9" fillId="0" borderId="7" xfId="0" applyFont="1" applyFill="1" applyBorder="1" applyAlignment="1" applyProtection="1">
      <alignment vertical="top"/>
    </xf>
    <xf numFmtId="0" fontId="0" fillId="0" borderId="7" xfId="0" applyFill="1" applyBorder="1" applyProtection="1"/>
    <xf numFmtId="173" fontId="2" fillId="0" borderId="7" xfId="546" applyNumberFormat="1" applyFont="1" applyFill="1" applyBorder="1" applyProtection="1"/>
    <xf numFmtId="2" fontId="10" fillId="0" borderId="7" xfId="0" applyNumberFormat="1" applyFont="1" applyFill="1" applyBorder="1" applyAlignment="1" applyProtection="1">
      <alignment horizontal="left"/>
    </xf>
    <xf numFmtId="0" fontId="10" fillId="0" borderId="7" xfId="0" applyNumberFormat="1" applyFont="1" applyFill="1" applyBorder="1" applyAlignment="1" applyProtection="1">
      <alignment horizontal="right"/>
    </xf>
    <xf numFmtId="0" fontId="11" fillId="0" borderId="7" xfId="0" applyNumberFormat="1" applyFont="1" applyFill="1" applyBorder="1" applyAlignment="1" applyProtection="1"/>
    <xf numFmtId="0" fontId="11" fillId="0" borderId="7" xfId="0" applyNumberFormat="1" applyFont="1" applyBorder="1" applyAlignment="1" applyProtection="1"/>
    <xf numFmtId="2" fontId="10" fillId="0" borderId="7" xfId="0" applyNumberFormat="1" applyFont="1" applyFill="1" applyBorder="1" applyAlignment="1" applyProtection="1">
      <alignment horizontal="right"/>
    </xf>
    <xf numFmtId="173" fontId="9" fillId="0" borderId="7" xfId="546" applyNumberFormat="1" applyFont="1" applyBorder="1" applyProtection="1"/>
    <xf numFmtId="173" fontId="2" fillId="0" borderId="7" xfId="546" applyNumberFormat="1" applyFont="1" applyBorder="1" applyAlignment="1" applyProtection="1"/>
    <xf numFmtId="0" fontId="2" fillId="0" borderId="7" xfId="546" applyFont="1" applyBorder="1" applyAlignment="1" applyProtection="1">
      <alignment vertical="top"/>
    </xf>
    <xf numFmtId="1" fontId="10" fillId="0" borderId="7" xfId="0" applyNumberFormat="1" applyFont="1" applyBorder="1" applyProtection="1"/>
    <xf numFmtId="164" fontId="19" fillId="0" borderId="0" xfId="0" applyNumberFormat="1" applyFont="1" applyFill="1" applyBorder="1" applyAlignment="1" applyProtection="1">
      <alignment vertical="top" wrapText="1"/>
    </xf>
    <xf numFmtId="0" fontId="19" fillId="47" borderId="7" xfId="0" applyNumberFormat="1" applyFont="1" applyFill="1" applyBorder="1" applyAlignment="1" applyProtection="1"/>
    <xf numFmtId="0" fontId="19" fillId="47" borderId="0" xfId="0" applyNumberFormat="1" applyFont="1" applyFill="1" applyBorder="1" applyAlignment="1" applyProtection="1"/>
    <xf numFmtId="0" fontId="10" fillId="0" borderId="0" xfId="0" applyFont="1" applyFill="1" applyBorder="1" applyAlignment="1" applyProtection="1">
      <alignment vertical="center" wrapText="1" shrinkToFit="1"/>
    </xf>
    <xf numFmtId="0" fontId="9" fillId="0" borderId="0" xfId="0" applyFont="1" applyFill="1" applyBorder="1" applyAlignment="1" applyProtection="1">
      <alignment horizontal="center"/>
    </xf>
    <xf numFmtId="0" fontId="9" fillId="0" borderId="0" xfId="0" applyFont="1" applyFill="1" applyBorder="1" applyAlignment="1" applyProtection="1">
      <alignment horizontal="center" vertical="top"/>
    </xf>
    <xf numFmtId="0" fontId="10" fillId="0" borderId="0" xfId="0" applyFont="1" applyFill="1" applyBorder="1" applyAlignment="1" applyProtection="1">
      <alignment horizontal="left" vertical="top" wrapText="1"/>
    </xf>
    <xf numFmtId="0" fontId="9" fillId="0" borderId="0" xfId="0" applyFont="1" applyFill="1" applyBorder="1" applyAlignment="1" applyProtection="1">
      <alignment horizontal="left" vertical="top"/>
    </xf>
    <xf numFmtId="0" fontId="0" fillId="0" borderId="0" xfId="0" applyFill="1" applyBorder="1" applyAlignment="1" applyProtection="1">
      <alignment horizontal="center"/>
    </xf>
    <xf numFmtId="0" fontId="7" fillId="0" borderId="0" xfId="273" applyFont="1" applyAlignment="1" applyProtection="1">
      <alignment horizontal="right"/>
    </xf>
    <xf numFmtId="0" fontId="7" fillId="0" borderId="0" xfId="273" applyFont="1" applyAlignment="1" applyProtection="1">
      <alignment horizontal="left" vertical="top" wrapText="1"/>
    </xf>
    <xf numFmtId="0" fontId="7" fillId="0" borderId="0" xfId="273" applyFont="1" applyAlignment="1" applyProtection="1">
      <alignment horizontal="right" vertical="top" wrapText="1"/>
    </xf>
    <xf numFmtId="0" fontId="59" fillId="0" borderId="0" xfId="273" applyFont="1" applyAlignment="1" applyProtection="1">
      <alignment horizontal="left" vertical="top" wrapText="1"/>
    </xf>
    <xf numFmtId="0" fontId="56" fillId="0" borderId="0" xfId="273" applyFont="1" applyFill="1" applyBorder="1" applyAlignment="1" applyProtection="1">
      <alignment horizontal="left"/>
    </xf>
    <xf numFmtId="0" fontId="7" fillId="0" borderId="5" xfId="273" applyFont="1" applyBorder="1" applyAlignment="1" applyProtection="1">
      <alignment horizontal="left"/>
    </xf>
    <xf numFmtId="1" fontId="10" fillId="0" borderId="7" xfId="0" applyNumberFormat="1" applyFont="1" applyFill="1" applyBorder="1" applyAlignment="1" applyProtection="1">
      <alignment horizontal="center" vertical="top"/>
    </xf>
    <xf numFmtId="0" fontId="0" fillId="0" borderId="13" xfId="0" applyFill="1" applyBorder="1" applyProtection="1"/>
    <xf numFmtId="0" fontId="10" fillId="0" borderId="9" xfId="0" applyFont="1" applyBorder="1" applyProtection="1"/>
    <xf numFmtId="0" fontId="0" fillId="0" borderId="10" xfId="0" applyFill="1" applyBorder="1" applyProtection="1"/>
    <xf numFmtId="0" fontId="19" fillId="0" borderId="4" xfId="0" applyFont="1" applyBorder="1" applyProtection="1"/>
    <xf numFmtId="0" fontId="9" fillId="0" borderId="4" xfId="0" applyFont="1" applyBorder="1" applyProtection="1"/>
    <xf numFmtId="0" fontId="19" fillId="0" borderId="1" xfId="0" applyFont="1" applyBorder="1" applyAlignment="1"/>
    <xf numFmtId="0" fontId="52" fillId="0" borderId="2" xfId="0" applyFont="1" applyBorder="1" applyAlignment="1">
      <alignment horizontal="left" wrapText="1"/>
    </xf>
    <xf numFmtId="0" fontId="52" fillId="0" borderId="2" xfId="0" applyFont="1" applyBorder="1" applyAlignment="1">
      <alignment horizontal="left"/>
    </xf>
    <xf numFmtId="0" fontId="52" fillId="0" borderId="11" xfId="0" applyFont="1" applyBorder="1" applyAlignment="1">
      <alignment horizontal="left" wrapText="1"/>
    </xf>
    <xf numFmtId="0" fontId="10" fillId="0" borderId="5" xfId="0" applyFont="1" applyBorder="1" applyAlignment="1"/>
    <xf numFmtId="0" fontId="10" fillId="0" borderId="10" xfId="0" applyFont="1" applyBorder="1" applyAlignment="1"/>
    <xf numFmtId="0" fontId="19" fillId="0" borderId="9" xfId="0" applyFont="1" applyBorder="1" applyProtection="1"/>
    <xf numFmtId="169" fontId="10" fillId="0" borderId="0" xfId="0" applyNumberFormat="1" applyFont="1" applyFill="1" applyBorder="1" applyAlignment="1" applyProtection="1">
      <alignment horizontal="left" vertical="top" wrapText="1"/>
    </xf>
    <xf numFmtId="169" fontId="7" fillId="0" borderId="0" xfId="273" applyNumberFormat="1" applyFont="1" applyFill="1" applyBorder="1" applyAlignment="1" applyProtection="1">
      <alignment horizontal="right"/>
    </xf>
    <xf numFmtId="0" fontId="19" fillId="0" borderId="0" xfId="0" applyFont="1" applyBorder="1" applyAlignment="1">
      <alignment vertical="top"/>
    </xf>
    <xf numFmtId="0" fontId="10" fillId="0" borderId="0" xfId="0" applyFont="1" applyBorder="1" applyAlignment="1">
      <alignment vertical="top" wrapText="1"/>
    </xf>
    <xf numFmtId="0" fontId="10" fillId="0" borderId="46" xfId="0" applyFont="1" applyBorder="1" applyProtection="1"/>
    <xf numFmtId="0" fontId="10" fillId="0" borderId="47" xfId="0" applyFont="1" applyBorder="1" applyProtection="1"/>
    <xf numFmtId="1" fontId="10" fillId="0" borderId="47" xfId="0" quotePrefix="1" applyNumberFormat="1" applyFont="1" applyFill="1" applyBorder="1" applyAlignment="1" applyProtection="1">
      <alignment horizontal="center" vertical="top"/>
    </xf>
    <xf numFmtId="0" fontId="11" fillId="0" borderId="49" xfId="0" applyFont="1" applyBorder="1" applyProtection="1"/>
    <xf numFmtId="0" fontId="0" fillId="0" borderId="52" xfId="0" applyFill="1" applyBorder="1" applyAlignment="1" applyProtection="1">
      <alignment horizontal="center"/>
    </xf>
    <xf numFmtId="0" fontId="0" fillId="0" borderId="53" xfId="0" applyFill="1" applyBorder="1" applyAlignment="1" applyProtection="1">
      <alignment horizontal="center"/>
    </xf>
    <xf numFmtId="1" fontId="10" fillId="0" borderId="53" xfId="0" quotePrefix="1" applyNumberFormat="1" applyFont="1" applyFill="1" applyBorder="1" applyAlignment="1" applyProtection="1">
      <alignment horizontal="center" vertical="top"/>
    </xf>
    <xf numFmtId="0" fontId="10" fillId="0" borderId="53" xfId="0" applyFont="1" applyBorder="1" applyAlignment="1">
      <alignment vertical="top" wrapText="1"/>
    </xf>
    <xf numFmtId="0" fontId="2" fillId="0" borderId="49" xfId="546" applyFont="1" applyBorder="1" applyProtection="1"/>
    <xf numFmtId="0" fontId="10" fillId="0" borderId="50" xfId="0" applyFont="1" applyBorder="1" applyProtection="1"/>
    <xf numFmtId="0" fontId="19" fillId="0" borderId="53" xfId="0" applyFont="1" applyBorder="1" applyAlignment="1">
      <alignment vertical="center"/>
    </xf>
    <xf numFmtId="0" fontId="19" fillId="0" borderId="0" xfId="0" applyFont="1" applyBorder="1" applyAlignment="1">
      <alignment vertical="center"/>
    </xf>
    <xf numFmtId="0" fontId="10" fillId="0" borderId="49" xfId="0" applyFont="1" applyBorder="1" applyProtection="1"/>
    <xf numFmtId="0" fontId="2" fillId="0" borderId="52" xfId="546" applyFont="1" applyBorder="1" applyProtection="1"/>
    <xf numFmtId="0" fontId="2" fillId="0" borderId="53" xfId="546" applyFont="1" applyBorder="1" applyProtection="1"/>
    <xf numFmtId="1" fontId="10" fillId="0" borderId="53" xfId="0" applyNumberFormat="1" applyFont="1" applyFill="1" applyBorder="1" applyAlignment="1" applyProtection="1">
      <alignment horizontal="center" vertical="top"/>
    </xf>
    <xf numFmtId="0" fontId="10" fillId="0" borderId="53" xfId="0" applyFont="1" applyBorder="1" applyAlignment="1">
      <alignment vertical="top"/>
    </xf>
    <xf numFmtId="0" fontId="11" fillId="0" borderId="53" xfId="0" applyFont="1" applyBorder="1" applyProtection="1"/>
    <xf numFmtId="0" fontId="9" fillId="0" borderId="53" xfId="0" applyFont="1" applyBorder="1" applyProtection="1"/>
    <xf numFmtId="0" fontId="10" fillId="0" borderId="53" xfId="0" applyFont="1" applyBorder="1" applyProtection="1"/>
    <xf numFmtId="0" fontId="10" fillId="0" borderId="54" xfId="0" applyFont="1" applyBorder="1" applyProtection="1"/>
    <xf numFmtId="0" fontId="10" fillId="0" borderId="52" xfId="0" applyFont="1" applyBorder="1" applyProtection="1"/>
    <xf numFmtId="0" fontId="2" fillId="0" borderId="46" xfId="546" applyFont="1" applyBorder="1" applyProtection="1"/>
    <xf numFmtId="0" fontId="2" fillId="0" borderId="47" xfId="546" applyFont="1" applyBorder="1" applyProtection="1"/>
    <xf numFmtId="0" fontId="2" fillId="0" borderId="48" xfId="546" applyFont="1" applyBorder="1" applyProtection="1"/>
    <xf numFmtId="0" fontId="19" fillId="0" borderId="0" xfId="0" applyNumberFormat="1" applyFont="1" applyBorder="1" applyAlignment="1">
      <alignment vertical="top"/>
    </xf>
    <xf numFmtId="0" fontId="10" fillId="0" borderId="0" xfId="0" applyNumberFormat="1" applyFont="1" applyBorder="1" applyAlignment="1">
      <alignment vertical="top" wrapText="1"/>
    </xf>
    <xf numFmtId="0" fontId="19" fillId="0" borderId="53" xfId="0" applyNumberFormat="1" applyFont="1" applyBorder="1" applyAlignment="1">
      <alignment vertical="top"/>
    </xf>
    <xf numFmtId="0" fontId="10" fillId="0" borderId="53" xfId="0" applyNumberFormat="1" applyFont="1" applyBorder="1" applyAlignment="1">
      <alignment vertical="top" wrapText="1"/>
    </xf>
    <xf numFmtId="0" fontId="10" fillId="0" borderId="48" xfId="0" applyFont="1" applyBorder="1" applyProtection="1"/>
    <xf numFmtId="0" fontId="11" fillId="0" borderId="49" xfId="546" applyFont="1" applyBorder="1" applyProtection="1"/>
    <xf numFmtId="0" fontId="11" fillId="0" borderId="0" xfId="546" applyFont="1" applyBorder="1" applyProtection="1"/>
    <xf numFmtId="0" fontId="10" fillId="0" borderId="0" xfId="0" applyFont="1" applyBorder="1" applyAlignment="1">
      <alignment wrapText="1"/>
    </xf>
    <xf numFmtId="0" fontId="0" fillId="0" borderId="49" xfId="0" applyFill="1" applyBorder="1" applyAlignment="1" applyProtection="1">
      <alignment horizontal="center"/>
    </xf>
    <xf numFmtId="0" fontId="10" fillId="0" borderId="0" xfId="0" applyFont="1" applyBorder="1" applyAlignment="1">
      <alignment vertical="center"/>
    </xf>
    <xf numFmtId="0" fontId="11" fillId="0" borderId="52" xfId="546" applyFont="1" applyBorder="1" applyProtection="1"/>
    <xf numFmtId="0" fontId="11" fillId="0" borderId="53" xfId="546" applyFont="1" applyBorder="1" applyProtection="1"/>
    <xf numFmtId="0" fontId="10" fillId="0" borderId="49" xfId="0" applyFont="1" applyFill="1" applyBorder="1" applyAlignment="1" applyProtection="1">
      <alignment horizontal="left" vertical="top"/>
    </xf>
    <xf numFmtId="0" fontId="10" fillId="0" borderId="52" xfId="0" applyFont="1" applyFill="1" applyBorder="1" applyAlignment="1" applyProtection="1">
      <alignment horizontal="left" vertical="top"/>
    </xf>
    <xf numFmtId="0" fontId="10" fillId="0" borderId="53" xfId="0" applyFont="1" applyFill="1" applyBorder="1" applyAlignment="1" applyProtection="1">
      <alignment horizontal="center" vertical="top"/>
    </xf>
    <xf numFmtId="0" fontId="0" fillId="0" borderId="53" xfId="0" applyFill="1" applyBorder="1" applyAlignment="1" applyProtection="1"/>
    <xf numFmtId="0" fontId="10" fillId="0" borderId="53" xfId="0" applyFont="1" applyFill="1" applyBorder="1" applyAlignment="1" applyProtection="1">
      <alignment horizontal="left" vertical="top"/>
    </xf>
    <xf numFmtId="0" fontId="9" fillId="0" borderId="53" xfId="0" applyFont="1" applyFill="1" applyBorder="1" applyAlignment="1" applyProtection="1">
      <alignment vertical="top"/>
    </xf>
    <xf numFmtId="0" fontId="9" fillId="0" borderId="53" xfId="0" applyFont="1" applyFill="1" applyBorder="1" applyAlignment="1" applyProtection="1">
      <alignment horizontal="left" vertical="top"/>
    </xf>
    <xf numFmtId="0" fontId="9" fillId="0" borderId="47" xfId="0" applyFont="1" applyFill="1" applyBorder="1" applyAlignment="1" applyProtection="1">
      <alignment horizontal="left" vertical="top"/>
    </xf>
    <xf numFmtId="0" fontId="10" fillId="0" borderId="47" xfId="0" applyFont="1" applyFill="1" applyBorder="1" applyAlignment="1" applyProtection="1">
      <alignment horizontal="left" vertical="top"/>
    </xf>
    <xf numFmtId="0" fontId="9" fillId="0" borderId="49" xfId="0" applyFont="1" applyBorder="1" applyAlignment="1" applyProtection="1">
      <alignment horizontal="left" vertical="top"/>
    </xf>
    <xf numFmtId="0" fontId="76" fillId="0" borderId="0" xfId="0" applyFont="1" applyBorder="1" applyProtection="1"/>
    <xf numFmtId="0" fontId="19" fillId="0" borderId="49" xfId="0" applyFont="1" applyBorder="1" applyProtection="1"/>
    <xf numFmtId="0" fontId="0" fillId="0" borderId="49" xfId="0" applyFill="1" applyBorder="1" applyAlignment="1" applyProtection="1"/>
    <xf numFmtId="0" fontId="0" fillId="0" borderId="53" xfId="0" applyBorder="1" applyProtection="1"/>
    <xf numFmtId="1" fontId="9" fillId="0" borderId="53" xfId="0" applyNumberFormat="1" applyFont="1" applyFill="1" applyBorder="1" applyAlignment="1" applyProtection="1">
      <alignment vertical="top"/>
    </xf>
    <xf numFmtId="0" fontId="9" fillId="0" borderId="46" xfId="0" applyFont="1" applyFill="1" applyBorder="1" applyAlignment="1" applyProtection="1">
      <alignment horizontal="left" vertical="top"/>
    </xf>
    <xf numFmtId="0" fontId="10" fillId="0" borderId="47" xfId="0" applyFont="1" applyFill="1" applyBorder="1" applyAlignment="1" applyProtection="1"/>
    <xf numFmtId="0" fontId="25" fillId="0" borderId="47" xfId="0" applyFont="1" applyFill="1" applyBorder="1" applyAlignment="1" applyProtection="1">
      <alignment horizontal="left" vertical="top"/>
    </xf>
    <xf numFmtId="0" fontId="11" fillId="0" borderId="47" xfId="0" quotePrefix="1" applyFont="1" applyFill="1" applyBorder="1" applyAlignment="1" applyProtection="1">
      <alignment horizontal="center" vertical="top"/>
    </xf>
    <xf numFmtId="0" fontId="9" fillId="0" borderId="47" xfId="0" applyFont="1" applyBorder="1" applyProtection="1"/>
    <xf numFmtId="0" fontId="10" fillId="0" borderId="53" xfId="0" applyFont="1" applyFill="1" applyBorder="1" applyProtection="1"/>
    <xf numFmtId="0" fontId="9" fillId="0" borderId="47" xfId="0" applyFont="1" applyFill="1" applyBorder="1" applyAlignment="1" applyProtection="1">
      <alignment horizontal="center"/>
    </xf>
    <xf numFmtId="0" fontId="9" fillId="0" borderId="47" xfId="0" applyFont="1" applyFill="1" applyBorder="1" applyAlignment="1" applyProtection="1">
      <alignment vertical="top"/>
    </xf>
    <xf numFmtId="0" fontId="2" fillId="0" borderId="49" xfId="546" applyFont="1" applyFill="1" applyBorder="1" applyProtection="1"/>
    <xf numFmtId="0" fontId="2" fillId="0" borderId="0" xfId="546" applyFont="1" applyBorder="1" applyAlignment="1" applyProtection="1"/>
    <xf numFmtId="0" fontId="9" fillId="0" borderId="49" xfId="0" applyFont="1" applyFill="1" applyBorder="1" applyProtection="1"/>
    <xf numFmtId="0" fontId="11" fillId="0" borderId="49" xfId="0" applyFont="1" applyFill="1" applyBorder="1" applyAlignment="1" applyProtection="1"/>
    <xf numFmtId="0" fontId="11" fillId="0" borderId="52" xfId="0" applyFont="1" applyFill="1" applyBorder="1" applyAlignment="1" applyProtection="1"/>
    <xf numFmtId="0" fontId="10" fillId="0" borderId="53" xfId="0" applyFont="1" applyFill="1" applyBorder="1" applyAlignment="1" applyProtection="1">
      <alignment vertical="top" wrapText="1"/>
    </xf>
    <xf numFmtId="0" fontId="10" fillId="0" borderId="50" xfId="0" applyFont="1" applyFill="1" applyBorder="1" applyProtection="1"/>
    <xf numFmtId="0" fontId="2" fillId="0" borderId="50" xfId="546" applyFont="1" applyBorder="1" applyProtection="1"/>
    <xf numFmtId="0" fontId="2" fillId="0" borderId="47" xfId="0" quotePrefix="1" applyFont="1" applyFill="1" applyBorder="1" applyAlignment="1" applyProtection="1">
      <alignment horizontal="center" vertical="top"/>
    </xf>
    <xf numFmtId="0" fontId="21" fillId="0" borderId="46" xfId="0" applyFont="1" applyBorder="1" applyProtection="1"/>
    <xf numFmtId="0" fontId="10" fillId="0" borderId="47" xfId="0" applyFont="1" applyFill="1" applyBorder="1" applyProtection="1"/>
    <xf numFmtId="0" fontId="10" fillId="0" borderId="47" xfId="0" applyFont="1" applyFill="1" applyBorder="1" applyAlignment="1" applyProtection="1">
      <alignment horizontal="center" vertical="top"/>
    </xf>
    <xf numFmtId="0" fontId="10" fillId="0" borderId="47" xfId="0" applyFont="1" applyFill="1" applyBorder="1" applyAlignment="1" applyProtection="1">
      <alignment vertical="top" wrapText="1"/>
    </xf>
    <xf numFmtId="0" fontId="10" fillId="0" borderId="47" xfId="0" applyFont="1" applyFill="1" applyBorder="1" applyAlignment="1" applyProtection="1">
      <alignment horizontal="left" vertical="top" wrapText="1"/>
    </xf>
    <xf numFmtId="0" fontId="115" fillId="0" borderId="0" xfId="0" applyFont="1" applyAlignment="1">
      <alignment vertical="center"/>
    </xf>
    <xf numFmtId="0" fontId="2" fillId="0" borderId="0" xfId="273" applyFont="1" applyFill="1"/>
    <xf numFmtId="9" fontId="11" fillId="0" borderId="0" xfId="273" applyNumberFormat="1" applyFill="1"/>
    <xf numFmtId="0" fontId="7" fillId="0" borderId="0" xfId="273" applyFont="1" applyAlignment="1" applyProtection="1">
      <alignment horizontal="left" vertical="top"/>
    </xf>
    <xf numFmtId="0" fontId="7" fillId="0" borderId="0" xfId="273" applyFont="1" applyAlignment="1" applyProtection="1">
      <alignment vertical="top"/>
    </xf>
    <xf numFmtId="0" fontId="7" fillId="0" borderId="0" xfId="273" applyFont="1" applyAlignment="1" applyProtection="1"/>
    <xf numFmtId="0" fontId="9" fillId="0" borderId="0" xfId="0" applyFont="1" applyFill="1" applyAlignment="1">
      <alignment horizontal="left" vertical="top"/>
    </xf>
    <xf numFmtId="0" fontId="0" fillId="0" borderId="0" xfId="0" applyAlignment="1"/>
    <xf numFmtId="0" fontId="0" fillId="0" borderId="0" xfId="0"/>
    <xf numFmtId="0" fontId="10" fillId="0" borderId="0" xfId="0" applyFont="1" applyAlignment="1">
      <alignment horizontal="left" vertical="top" wrapText="1"/>
    </xf>
    <xf numFmtId="0" fontId="7" fillId="0" borderId="57" xfId="273" applyFont="1" applyBorder="1" applyProtection="1"/>
    <xf numFmtId="0" fontId="7" fillId="0" borderId="50" xfId="273" applyFont="1" applyBorder="1" applyProtection="1"/>
    <xf numFmtId="0" fontId="56" fillId="0" borderId="50" xfId="273" applyFont="1" applyBorder="1" applyAlignment="1" applyProtection="1">
      <alignment vertical="center" wrapText="1"/>
    </xf>
    <xf numFmtId="0" fontId="7" fillId="0" borderId="58" xfId="273" applyFont="1" applyBorder="1" applyProtection="1"/>
    <xf numFmtId="0" fontId="7" fillId="0" borderId="0" xfId="273" applyFont="1" applyBorder="1" applyAlignment="1" applyProtection="1">
      <alignment horizontal="left"/>
    </xf>
    <xf numFmtId="0" fontId="25" fillId="0" borderId="47" xfId="273" applyFont="1" applyBorder="1" applyAlignment="1" applyProtection="1">
      <alignment horizontal="center"/>
    </xf>
    <xf numFmtId="0" fontId="7" fillId="0" borderId="53" xfId="273" applyFont="1" applyBorder="1" applyAlignment="1" applyProtection="1">
      <alignment horizontal="center"/>
    </xf>
    <xf numFmtId="0" fontId="7" fillId="0" borderId="54" xfId="273" applyFont="1" applyBorder="1" applyAlignment="1" applyProtection="1">
      <alignment horizontal="center"/>
    </xf>
    <xf numFmtId="0" fontId="7" fillId="0" borderId="47" xfId="273" applyFont="1" applyBorder="1" applyAlignment="1" applyProtection="1">
      <alignment horizontal="center"/>
    </xf>
    <xf numFmtId="0" fontId="7" fillId="0" borderId="59" xfId="273" applyFont="1" applyBorder="1" applyAlignment="1" applyProtection="1">
      <alignment horizontal="center"/>
    </xf>
    <xf numFmtId="0" fontId="2" fillId="0" borderId="47" xfId="273" applyFont="1" applyBorder="1" applyProtection="1"/>
    <xf numFmtId="0" fontId="2" fillId="0" borderId="47" xfId="273" applyFont="1" applyFill="1" applyBorder="1"/>
    <xf numFmtId="0" fontId="2" fillId="0" borderId="48" xfId="273" applyFont="1" applyBorder="1" applyProtection="1"/>
    <xf numFmtId="0" fontId="2" fillId="0" borderId="53" xfId="273" applyFont="1" applyBorder="1" applyProtection="1"/>
    <xf numFmtId="0" fontId="2" fillId="0" borderId="53" xfId="273" applyFont="1" applyFill="1" applyBorder="1"/>
    <xf numFmtId="0" fontId="2" fillId="0" borderId="54" xfId="273" applyFont="1" applyBorder="1" applyProtection="1"/>
    <xf numFmtId="0" fontId="2" fillId="0" borderId="59" xfId="273" applyFont="1" applyBorder="1" applyProtection="1"/>
    <xf numFmtId="0" fontId="2" fillId="0" borderId="59" xfId="273" applyFont="1" applyFill="1" applyBorder="1"/>
    <xf numFmtId="0" fontId="2" fillId="0" borderId="60" xfId="273" applyFont="1" applyBorder="1" applyProtection="1"/>
    <xf numFmtId="0" fontId="116" fillId="0" borderId="46" xfId="273" applyFont="1" applyBorder="1" applyAlignment="1" applyProtection="1">
      <alignment horizontal="left"/>
    </xf>
    <xf numFmtId="0" fontId="116" fillId="0" borderId="52" xfId="273" applyFont="1" applyBorder="1" applyAlignment="1" applyProtection="1">
      <alignment horizontal="left"/>
    </xf>
    <xf numFmtId="0" fontId="117" fillId="0" borderId="46" xfId="273" applyFont="1" applyBorder="1" applyAlignment="1" applyProtection="1">
      <alignment horizontal="left"/>
    </xf>
    <xf numFmtId="0" fontId="117" fillId="0" borderId="5" xfId="273" applyFont="1" applyBorder="1" applyAlignment="1" applyProtection="1">
      <alignment horizontal="center"/>
    </xf>
    <xf numFmtId="0" fontId="11" fillId="0" borderId="0" xfId="0" applyFont="1" applyBorder="1" applyAlignment="1">
      <alignment horizontal="left" vertical="top"/>
    </xf>
    <xf numFmtId="0" fontId="2" fillId="0" borderId="0" xfId="0" applyFont="1" applyBorder="1" applyAlignment="1">
      <alignment horizontal="left" vertical="top"/>
    </xf>
    <xf numFmtId="0" fontId="0" fillId="7" borderId="5" xfId="0" applyFill="1" applyBorder="1" applyAlignment="1" applyProtection="1">
      <protection locked="0"/>
    </xf>
    <xf numFmtId="0" fontId="2" fillId="0" borderId="0" xfId="0" applyFont="1" applyBorder="1" applyAlignment="1">
      <alignment vertical="top" wrapText="1"/>
    </xf>
    <xf numFmtId="0" fontId="2" fillId="0" borderId="0" xfId="0" applyFont="1" applyFill="1"/>
    <xf numFmtId="0" fontId="0" fillId="0" borderId="6" xfId="0" applyFill="1" applyBorder="1"/>
    <xf numFmtId="0" fontId="9" fillId="0" borderId="8" xfId="0" applyFont="1" applyFill="1" applyBorder="1" applyAlignment="1" applyProtection="1">
      <alignment horizontal="right"/>
    </xf>
    <xf numFmtId="0" fontId="0" fillId="0" borderId="0" xfId="0" applyAlignment="1">
      <alignment vertical="top" wrapText="1"/>
    </xf>
    <xf numFmtId="0" fontId="9" fillId="0" borderId="0" xfId="0" applyFont="1" applyFill="1" applyBorder="1" applyAlignment="1" applyProtection="1">
      <alignment horizontal="center"/>
    </xf>
    <xf numFmtId="0" fontId="9" fillId="0" borderId="0" xfId="0" applyFont="1" applyBorder="1" applyAlignment="1" applyProtection="1">
      <alignment horizontal="center"/>
    </xf>
    <xf numFmtId="0" fontId="10" fillId="0" borderId="0" xfId="0" applyFont="1" applyFill="1" applyBorder="1" applyAlignment="1" applyProtection="1">
      <alignment horizontal="left" vertical="top" wrapText="1"/>
    </xf>
    <xf numFmtId="0" fontId="9" fillId="0" borderId="0" xfId="0" applyFont="1" applyFill="1" applyBorder="1" applyAlignment="1" applyProtection="1">
      <alignment horizontal="center" vertical="top"/>
    </xf>
    <xf numFmtId="0" fontId="9" fillId="0" borderId="0" xfId="0" applyFont="1" applyAlignment="1" applyProtection="1">
      <alignment horizontal="center"/>
    </xf>
    <xf numFmtId="0" fontId="10" fillId="0" borderId="0" xfId="0" applyFont="1" applyAlignment="1" applyProtection="1">
      <alignment horizontal="left" vertical="top" wrapText="1"/>
    </xf>
    <xf numFmtId="0" fontId="10" fillId="0" borderId="0" xfId="0" applyFont="1" applyFill="1" applyBorder="1" applyAlignment="1" applyProtection="1">
      <alignment horizontal="left" vertical="top" wrapText="1" shrinkToFit="1"/>
    </xf>
    <xf numFmtId="0" fontId="9" fillId="0" borderId="8" xfId="0" applyFont="1" applyFill="1" applyBorder="1" applyAlignment="1" applyProtection="1">
      <alignment horizontal="right"/>
    </xf>
    <xf numFmtId="0" fontId="11" fillId="0" borderId="0" xfId="0" applyNumberFormat="1" applyFont="1" applyFill="1" applyBorder="1" applyAlignment="1" applyProtection="1">
      <alignment horizontal="center"/>
    </xf>
    <xf numFmtId="0" fontId="9" fillId="0" borderId="0" xfId="0" applyFont="1" applyFill="1" applyBorder="1" applyAlignment="1" applyProtection="1">
      <alignment horizontal="center" wrapText="1"/>
    </xf>
    <xf numFmtId="166" fontId="17" fillId="0" borderId="0" xfId="0" applyNumberFormat="1" applyFont="1" applyFill="1" applyBorder="1" applyAlignment="1" applyProtection="1">
      <alignment horizontal="center" vertical="center"/>
    </xf>
    <xf numFmtId="0" fontId="120" fillId="0" borderId="0" xfId="0" applyFont="1" applyBorder="1" applyAlignment="1" applyProtection="1">
      <alignment horizontal="left" vertical="top"/>
    </xf>
    <xf numFmtId="0" fontId="0" fillId="7" borderId="5" xfId="0" applyFill="1" applyBorder="1" applyAlignment="1" applyProtection="1">
      <protection locked="0"/>
    </xf>
    <xf numFmtId="2" fontId="11" fillId="0" borderId="0" xfId="573" applyNumberFormat="1" applyFont="1" applyFill="1"/>
    <xf numFmtId="169" fontId="7" fillId="7" borderId="5" xfId="273" applyNumberFormat="1" applyFont="1" applyFill="1" applyBorder="1" applyAlignment="1" applyProtection="1">
      <alignment horizontal="right"/>
      <protection locked="0"/>
    </xf>
    <xf numFmtId="0" fontId="9" fillId="0" borderId="0" xfId="0" applyFont="1" applyBorder="1" applyAlignment="1" applyProtection="1">
      <alignment horizontal="center" vertical="top"/>
    </xf>
    <xf numFmtId="0" fontId="0" fillId="0" borderId="0" xfId="0" applyFill="1" applyBorder="1" applyAlignment="1" applyProtection="1">
      <alignment horizontal="center"/>
    </xf>
    <xf numFmtId="0" fontId="9" fillId="0" borderId="0" xfId="0" applyFont="1" applyBorder="1" applyAlignment="1" applyProtection="1">
      <alignment horizontal="center"/>
    </xf>
    <xf numFmtId="0" fontId="9" fillId="0" borderId="50" xfId="0" applyFont="1" applyBorder="1" applyAlignment="1" applyProtection="1">
      <alignment horizontal="center"/>
    </xf>
    <xf numFmtId="0" fontId="10" fillId="0" borderId="0" xfId="0" applyFont="1" applyBorder="1" applyAlignment="1">
      <alignment horizontal="left" vertical="top" wrapText="1"/>
    </xf>
    <xf numFmtId="0" fontId="9" fillId="0" borderId="53" xfId="0" applyFont="1" applyBorder="1" applyAlignment="1" applyProtection="1">
      <alignment horizontal="center"/>
    </xf>
    <xf numFmtId="0" fontId="9" fillId="0" borderId="54" xfId="0" applyFont="1" applyBorder="1" applyAlignment="1" applyProtection="1">
      <alignment horizontal="center"/>
    </xf>
    <xf numFmtId="0" fontId="9" fillId="0" borderId="50" xfId="0" applyFont="1" applyBorder="1" applyAlignment="1" applyProtection="1">
      <alignment horizontal="center" vertical="top"/>
    </xf>
    <xf numFmtId="0" fontId="0" fillId="0" borderId="49" xfId="0" applyFill="1" applyBorder="1" applyAlignment="1" applyProtection="1">
      <alignment horizontal="center"/>
    </xf>
    <xf numFmtId="0" fontId="9" fillId="0" borderId="48" xfId="0" applyFont="1" applyBorder="1" applyAlignment="1" applyProtection="1">
      <alignment horizontal="center"/>
    </xf>
    <xf numFmtId="164" fontId="10" fillId="0" borderId="0" xfId="0" applyNumberFormat="1" applyFont="1" applyFill="1" applyBorder="1" applyAlignment="1" applyProtection="1">
      <alignment horizontal="left" vertical="top" wrapText="1"/>
    </xf>
    <xf numFmtId="169" fontId="7" fillId="0" borderId="0" xfId="273" applyNumberFormat="1" applyFont="1" applyFill="1" applyBorder="1" applyAlignment="1" applyProtection="1">
      <alignment horizontal="left"/>
    </xf>
    <xf numFmtId="0" fontId="52" fillId="0" borderId="0" xfId="0" applyFont="1" applyAlignment="1">
      <alignment vertical="top" wrapText="1"/>
    </xf>
    <xf numFmtId="0" fontId="11" fillId="0" borderId="7" xfId="0" applyFont="1" applyFill="1" applyBorder="1" applyAlignment="1" applyProtection="1"/>
    <xf numFmtId="0" fontId="9" fillId="0" borderId="47" xfId="0" applyFont="1" applyBorder="1" applyAlignment="1" applyProtection="1"/>
    <xf numFmtId="0" fontId="11" fillId="0" borderId="47" xfId="0" applyFont="1" applyBorder="1" applyProtection="1"/>
    <xf numFmtId="0" fontId="10" fillId="0" borderId="46" xfId="0" applyFont="1" applyFill="1" applyBorder="1" applyProtection="1"/>
    <xf numFmtId="0" fontId="56" fillId="0" borderId="0" xfId="273" applyFont="1" applyFill="1" applyBorder="1" applyAlignment="1" applyProtection="1"/>
    <xf numFmtId="169" fontId="56" fillId="0" borderId="0" xfId="273" applyNumberFormat="1" applyFont="1" applyFill="1" applyBorder="1" applyAlignment="1" applyProtection="1"/>
    <xf numFmtId="0" fontId="56" fillId="0" borderId="0" xfId="273" applyFont="1" applyFill="1" applyBorder="1" applyAlignment="1" applyProtection="1">
      <alignment horizontal="right"/>
    </xf>
    <xf numFmtId="0" fontId="7" fillId="0" borderId="0" xfId="273" applyFont="1" applyBorder="1" applyAlignment="1" applyProtection="1">
      <alignment wrapText="1"/>
    </xf>
    <xf numFmtId="0" fontId="56" fillId="0" borderId="0" xfId="273" applyFont="1" applyBorder="1" applyAlignment="1" applyProtection="1">
      <alignment horizontal="right"/>
    </xf>
    <xf numFmtId="4" fontId="11" fillId="0" borderId="0" xfId="0" applyNumberFormat="1" applyFont="1" applyFill="1" applyAlignment="1" applyProtection="1">
      <alignment horizontal="left" vertical="top" wrapText="1"/>
    </xf>
    <xf numFmtId="0" fontId="0" fillId="7" borderId="5" xfId="0" applyFill="1" applyBorder="1" applyAlignment="1" applyProtection="1">
      <protection locked="0"/>
    </xf>
    <xf numFmtId="169" fontId="7" fillId="0" borderId="0" xfId="273" applyNumberFormat="1" applyFont="1" applyFill="1" applyBorder="1" applyAlignment="1" applyProtection="1">
      <alignment horizontal="right"/>
    </xf>
    <xf numFmtId="0" fontId="2" fillId="0" borderId="0" xfId="0" applyNumberFormat="1" applyFont="1" applyFill="1" applyAlignment="1" applyProtection="1">
      <alignment horizontal="left" vertical="top"/>
    </xf>
    <xf numFmtId="0" fontId="2" fillId="0" borderId="0" xfId="0" applyNumberFormat="1" applyFont="1" applyFill="1" applyBorder="1" applyAlignment="1" applyProtection="1">
      <alignment horizontal="left" vertical="top"/>
    </xf>
    <xf numFmtId="0" fontId="11" fillId="0" borderId="0" xfId="0" applyFont="1" applyAlignment="1" applyProtection="1"/>
    <xf numFmtId="0" fontId="58" fillId="0" borderId="0" xfId="273" applyFont="1" applyAlignment="1" applyProtection="1">
      <alignment horizontal="center" vertical="top"/>
    </xf>
    <xf numFmtId="0" fontId="108" fillId="0" borderId="47" xfId="273" applyFont="1" applyBorder="1" applyAlignment="1" applyProtection="1">
      <alignment horizontal="left"/>
    </xf>
    <xf numFmtId="0" fontId="11" fillId="0" borderId="47" xfId="273" applyBorder="1" applyProtection="1"/>
    <xf numFmtId="0" fontId="11" fillId="0" borderId="47" xfId="273" applyFill="1" applyBorder="1"/>
    <xf numFmtId="0" fontId="116" fillId="0" borderId="47" xfId="273" applyFont="1" applyBorder="1" applyAlignment="1" applyProtection="1">
      <alignment horizontal="left"/>
    </xf>
    <xf numFmtId="0" fontId="2" fillId="0" borderId="61" xfId="273" applyFont="1" applyBorder="1" applyProtection="1"/>
    <xf numFmtId="4" fontId="11" fillId="0" borderId="0" xfId="0" applyNumberFormat="1" applyFont="1" applyFill="1" applyAlignment="1" applyProtection="1">
      <alignment vertical="top" wrapText="1"/>
    </xf>
    <xf numFmtId="0" fontId="9" fillId="0" borderId="10" xfId="0" applyFont="1" applyBorder="1" applyAlignment="1" applyProtection="1">
      <alignment horizontal="right"/>
    </xf>
    <xf numFmtId="0" fontId="11" fillId="0" borderId="0" xfId="0" applyFont="1" applyAlignment="1" applyProtection="1"/>
    <xf numFmtId="0" fontId="11" fillId="0" borderId="0" xfId="0" applyFont="1" applyAlignment="1">
      <alignment horizontal="left" vertical="top" wrapText="1"/>
    </xf>
    <xf numFmtId="0" fontId="11" fillId="0" borderId="0" xfId="273" applyFont="1" applyFill="1" applyBorder="1" applyAlignment="1" applyProtection="1">
      <alignment horizontal="left" vertical="top" wrapText="1"/>
    </xf>
    <xf numFmtId="0" fontId="2" fillId="0" borderId="0" xfId="0" applyFont="1" applyAlignment="1">
      <alignment horizontal="left" vertical="top" wrapText="1"/>
    </xf>
    <xf numFmtId="0" fontId="0" fillId="7" borderId="5" xfId="0" applyFill="1" applyBorder="1" applyAlignment="1" applyProtection="1">
      <protection locked="0"/>
    </xf>
    <xf numFmtId="0" fontId="9" fillId="0" borderId="0" xfId="0" applyFont="1" applyFill="1" applyBorder="1" applyAlignment="1" applyProtection="1">
      <alignment horizontal="left" vertical="top"/>
    </xf>
    <xf numFmtId="0" fontId="2" fillId="0" borderId="5" xfId="0" applyFont="1" applyBorder="1" applyAlignment="1" applyProtection="1"/>
    <xf numFmtId="0" fontId="25" fillId="0" borderId="0" xfId="0" applyFont="1" applyAlignment="1">
      <alignment vertical="center" wrapText="1"/>
    </xf>
    <xf numFmtId="0" fontId="25" fillId="0" borderId="0" xfId="0" applyFont="1" applyAlignment="1">
      <alignment vertical="center"/>
    </xf>
    <xf numFmtId="0" fontId="25" fillId="0" borderId="0" xfId="0" applyFont="1" applyBorder="1" applyAlignment="1" applyProtection="1">
      <alignment horizontal="left"/>
    </xf>
    <xf numFmtId="0" fontId="10" fillId="0" borderId="0" xfId="0" applyFont="1" applyAlignment="1">
      <alignment vertical="center" wrapText="1"/>
    </xf>
    <xf numFmtId="0" fontId="2" fillId="0" borderId="0" xfId="273" applyFont="1" applyBorder="1"/>
    <xf numFmtId="0" fontId="2" fillId="0" borderId="0" xfId="0" applyFont="1"/>
    <xf numFmtId="0" fontId="11" fillId="0" borderId="0" xfId="0" applyFont="1" applyAlignment="1">
      <alignment horizontal="left" vertical="top" wrapText="1"/>
    </xf>
    <xf numFmtId="0" fontId="0" fillId="7" borderId="5" xfId="0" applyFill="1" applyBorder="1" applyAlignment="1" applyProtection="1">
      <protection locked="0"/>
    </xf>
    <xf numFmtId="4" fontId="43" fillId="0" borderId="0" xfId="0" applyNumberFormat="1" applyFont="1" applyFill="1" applyAlignment="1" applyProtection="1">
      <alignment horizontal="center"/>
    </xf>
    <xf numFmtId="4" fontId="2" fillId="0" borderId="0" xfId="0" applyNumberFormat="1" applyFont="1" applyFill="1" applyAlignment="1" applyProtection="1">
      <alignment horizontal="center"/>
    </xf>
    <xf numFmtId="4" fontId="2" fillId="0" borderId="0" xfId="0" applyNumberFormat="1" applyFont="1" applyProtection="1"/>
    <xf numFmtId="0" fontId="0" fillId="52" borderId="65" xfId="0" applyFill="1" applyBorder="1" applyProtection="1"/>
    <xf numFmtId="0" fontId="0" fillId="52" borderId="66" xfId="0" applyFill="1" applyBorder="1" applyProtection="1"/>
    <xf numFmtId="0" fontId="0" fillId="52" borderId="67" xfId="0" applyFill="1" applyBorder="1" applyProtection="1"/>
    <xf numFmtId="0" fontId="0" fillId="52" borderId="68" xfId="0" applyFill="1" applyBorder="1" applyProtection="1"/>
    <xf numFmtId="0" fontId="0" fillId="52" borderId="0" xfId="0" applyFill="1" applyBorder="1" applyProtection="1"/>
    <xf numFmtId="0" fontId="0" fillId="52" borderId="69" xfId="0" applyFill="1" applyBorder="1" applyProtection="1"/>
    <xf numFmtId="0" fontId="2" fillId="52" borderId="0" xfId="0" applyFont="1" applyFill="1" applyBorder="1" applyProtection="1"/>
    <xf numFmtId="0" fontId="0" fillId="52" borderId="71" xfId="0" applyFill="1" applyBorder="1" applyProtection="1"/>
    <xf numFmtId="0" fontId="0" fillId="52" borderId="72" xfId="0" applyFill="1" applyBorder="1" applyProtection="1"/>
    <xf numFmtId="0" fontId="0" fillId="52" borderId="70" xfId="0" applyFill="1" applyBorder="1" applyProtection="1"/>
    <xf numFmtId="0" fontId="11" fillId="0" borderId="0" xfId="0" applyFont="1" applyAlignment="1">
      <alignment horizontal="left" vertical="top"/>
    </xf>
    <xf numFmtId="0" fontId="9" fillId="0" borderId="0" xfId="0" applyFont="1" applyAlignment="1">
      <alignment horizontal="left"/>
    </xf>
    <xf numFmtId="0" fontId="0" fillId="7" borderId="5" xfId="0" applyFill="1" applyBorder="1" applyAlignment="1" applyProtection="1">
      <protection locked="0"/>
    </xf>
    <xf numFmtId="0" fontId="9" fillId="0" borderId="8" xfId="0" applyFont="1" applyBorder="1" applyAlignment="1" applyProtection="1">
      <alignment horizontal="right"/>
    </xf>
    <xf numFmtId="169" fontId="0" fillId="0" borderId="3" xfId="0" applyNumberFormat="1" applyFill="1" applyBorder="1" applyAlignment="1" applyProtection="1"/>
    <xf numFmtId="169" fontId="0" fillId="0" borderId="4" xfId="0" applyNumberFormat="1" applyFill="1" applyBorder="1" applyAlignment="1" applyProtection="1"/>
    <xf numFmtId="169" fontId="0" fillId="0" borderId="8" xfId="0" applyNumberFormat="1" applyFill="1" applyBorder="1" applyAlignment="1" applyProtection="1"/>
    <xf numFmtId="0" fontId="0" fillId="0" borderId="0" xfId="0"/>
    <xf numFmtId="0" fontId="25" fillId="0" borderId="0" xfId="0" applyFont="1" applyBorder="1" applyAlignment="1" applyProtection="1">
      <alignment vertical="top" wrapText="1"/>
    </xf>
    <xf numFmtId="0" fontId="10" fillId="0" borderId="53" xfId="0" applyFont="1" applyBorder="1" applyAlignment="1">
      <alignment horizontal="left" vertical="top" wrapText="1"/>
    </xf>
    <xf numFmtId="0" fontId="9" fillId="0" borderId="0" xfId="0" applyFont="1" applyBorder="1" applyAlignment="1" applyProtection="1">
      <alignment horizontal="center"/>
    </xf>
    <xf numFmtId="0" fontId="9" fillId="0" borderId="50" xfId="0" applyFont="1" applyBorder="1" applyAlignment="1" applyProtection="1">
      <alignment horizontal="center"/>
    </xf>
    <xf numFmtId="0" fontId="10" fillId="0" borderId="0" xfId="0" applyFont="1" applyFill="1" applyBorder="1" applyAlignment="1" applyProtection="1">
      <alignment horizontal="left" vertical="top" wrapText="1"/>
    </xf>
    <xf numFmtId="0" fontId="9" fillId="0" borderId="53" xfId="0" applyFont="1" applyBorder="1" applyAlignment="1" applyProtection="1">
      <alignment horizontal="center"/>
    </xf>
    <xf numFmtId="0" fontId="9" fillId="0" borderId="54" xfId="0" applyFont="1" applyBorder="1" applyAlignment="1" applyProtection="1">
      <alignment horizontal="center"/>
    </xf>
    <xf numFmtId="0" fontId="46" fillId="0" borderId="3" xfId="0" applyFont="1" applyFill="1" applyBorder="1" applyAlignment="1" applyProtection="1">
      <alignment horizontal="left"/>
    </xf>
    <xf numFmtId="0" fontId="0" fillId="0" borderId="0" xfId="0" applyAlignment="1" applyProtection="1"/>
    <xf numFmtId="0" fontId="2" fillId="0" borderId="0" xfId="0" applyFont="1" applyAlignment="1" applyProtection="1">
      <alignment wrapText="1"/>
    </xf>
    <xf numFmtId="0" fontId="0" fillId="7" borderId="5" xfId="0" applyFill="1" applyBorder="1" applyAlignment="1" applyProtection="1">
      <protection locked="0"/>
    </xf>
    <xf numFmtId="0" fontId="9" fillId="0" borderId="5" xfId="0" applyFont="1" applyBorder="1" applyAlignment="1" applyProtection="1">
      <alignment horizontal="center"/>
    </xf>
    <xf numFmtId="169" fontId="0" fillId="0" borderId="0" xfId="0" applyNumberFormat="1" applyFill="1" applyBorder="1" applyAlignment="1" applyProtection="1">
      <alignment horizontal="right"/>
    </xf>
    <xf numFmtId="0" fontId="0" fillId="0" borderId="5" xfId="0" applyBorder="1" applyAlignment="1" applyProtection="1">
      <alignment horizontal="left" wrapText="1"/>
    </xf>
    <xf numFmtId="0" fontId="9" fillId="0" borderId="0" xfId="0" applyFont="1" applyFill="1" applyBorder="1" applyAlignment="1" applyProtection="1">
      <alignment horizontal="center"/>
    </xf>
    <xf numFmtId="0" fontId="9" fillId="0" borderId="0" xfId="0" applyFont="1" applyBorder="1" applyAlignment="1" applyProtection="1">
      <alignment horizontal="center"/>
    </xf>
    <xf numFmtId="0" fontId="9" fillId="0" borderId="0" xfId="0" applyFont="1" applyAlignment="1" applyProtection="1">
      <alignment horizontal="right"/>
    </xf>
    <xf numFmtId="0" fontId="0" fillId="0" borderId="0" xfId="0" applyFill="1" applyBorder="1" applyAlignment="1" applyProtection="1">
      <alignment horizontal="center"/>
    </xf>
    <xf numFmtId="0" fontId="7" fillId="0" borderId="0" xfId="0" applyFont="1"/>
    <xf numFmtId="10" fontId="2" fillId="0" borderId="0" xfId="0" applyNumberFormat="1" applyFont="1" applyAlignment="1">
      <alignment horizontal="center"/>
    </xf>
    <xf numFmtId="169" fontId="7" fillId="53" borderId="0" xfId="0" applyNumberFormat="1" applyFont="1" applyFill="1"/>
    <xf numFmtId="2" fontId="11" fillId="0" borderId="12" xfId="273" applyNumberFormat="1" applyFont="1" applyFill="1" applyBorder="1" applyAlignment="1">
      <alignment horizontal="center"/>
    </xf>
    <xf numFmtId="3" fontId="2" fillId="0" borderId="0" xfId="273" applyNumberFormat="1" applyFont="1"/>
    <xf numFmtId="3" fontId="2" fillId="0" borderId="5" xfId="273" applyNumberFormat="1" applyFont="1" applyBorder="1"/>
    <xf numFmtId="169" fontId="11" fillId="0" borderId="0" xfId="273" applyNumberFormat="1" applyFont="1" applyFill="1"/>
    <xf numFmtId="169" fontId="11" fillId="0" borderId="0" xfId="273" applyNumberFormat="1" applyFont="1" applyFill="1" applyAlignment="1">
      <alignment horizontal="center"/>
    </xf>
    <xf numFmtId="3" fontId="11" fillId="0" borderId="0" xfId="273" applyNumberFormat="1" applyFont="1" applyFill="1"/>
    <xf numFmtId="3" fontId="11" fillId="0" borderId="0" xfId="273" applyNumberFormat="1" applyFont="1" applyFill="1" applyAlignment="1">
      <alignment horizontal="center"/>
    </xf>
    <xf numFmtId="169" fontId="2" fillId="0" borderId="0" xfId="0" applyNumberFormat="1" applyFont="1" applyFill="1"/>
    <xf numFmtId="169" fontId="11" fillId="0" borderId="12" xfId="273" applyNumberFormat="1" applyFont="1" applyBorder="1" applyAlignment="1">
      <alignment horizontal="center"/>
    </xf>
    <xf numFmtId="10" fontId="11" fillId="0" borderId="12" xfId="273" applyNumberFormat="1" applyFont="1" applyBorder="1" applyAlignment="1">
      <alignment horizontal="center"/>
    </xf>
    <xf numFmtId="169" fontId="2" fillId="0" borderId="0" xfId="0" applyNumberFormat="1" applyFont="1"/>
    <xf numFmtId="164" fontId="2" fillId="0" borderId="0" xfId="574" applyNumberFormat="1" applyFont="1" applyFill="1" applyBorder="1" applyAlignment="1" applyProtection="1">
      <alignment vertical="top" wrapText="1"/>
    </xf>
    <xf numFmtId="0" fontId="9" fillId="0" borderId="13" xfId="0" applyFont="1" applyFill="1" applyBorder="1" applyAlignment="1" applyProtection="1"/>
    <xf numFmtId="0" fontId="10" fillId="0" borderId="13" xfId="0" applyFont="1" applyBorder="1" applyProtection="1"/>
    <xf numFmtId="0" fontId="10" fillId="0" borderId="74" xfId="0" applyFont="1" applyBorder="1" applyProtection="1"/>
    <xf numFmtId="0" fontId="19" fillId="0" borderId="0" xfId="0" applyFont="1" applyFill="1" applyBorder="1" applyAlignment="1" applyProtection="1">
      <alignment vertical="top"/>
    </xf>
    <xf numFmtId="0" fontId="11" fillId="0" borderId="52" xfId="0" applyFont="1" applyBorder="1" applyProtection="1"/>
    <xf numFmtId="0" fontId="19" fillId="0" borderId="0" xfId="0" applyFont="1" applyFill="1" applyBorder="1" applyAlignment="1">
      <alignment vertical="center"/>
    </xf>
    <xf numFmtId="0" fontId="0" fillId="0" borderId="0" xfId="0" applyFill="1" applyBorder="1" applyAlignment="1">
      <alignment vertical="top" wrapText="1"/>
    </xf>
    <xf numFmtId="0" fontId="9" fillId="0" borderId="54" xfId="0" applyFont="1" applyFill="1" applyBorder="1" applyAlignment="1" applyProtection="1">
      <alignment vertical="top"/>
    </xf>
    <xf numFmtId="0" fontId="0" fillId="0" borderId="52" xfId="0" applyFill="1" applyBorder="1" applyAlignment="1" applyProtection="1"/>
    <xf numFmtId="0" fontId="19" fillId="0" borderId="53" xfId="0" applyFont="1" applyFill="1" applyBorder="1" applyAlignment="1" applyProtection="1">
      <alignment vertical="top"/>
    </xf>
    <xf numFmtId="0" fontId="19" fillId="0" borderId="0" xfId="0" applyNumberFormat="1" applyFont="1" applyFill="1" applyBorder="1" applyAlignment="1" applyProtection="1">
      <alignment vertical="top"/>
    </xf>
    <xf numFmtId="169" fontId="2" fillId="0" borderId="0" xfId="0" applyNumberFormat="1" applyFont="1" applyFill="1" applyBorder="1" applyAlignment="1" applyProtection="1">
      <alignment horizontal="right"/>
    </xf>
    <xf numFmtId="0" fontId="2" fillId="0" borderId="9" xfId="0" applyFont="1" applyBorder="1" applyAlignment="1" applyProtection="1">
      <alignment horizontal="left"/>
    </xf>
    <xf numFmtId="0" fontId="2" fillId="0" borderId="3" xfId="0" applyFont="1" applyFill="1" applyBorder="1" applyAlignment="1" applyProtection="1"/>
    <xf numFmtId="0" fontId="0" fillId="0" borderId="4" xfId="0" applyFill="1" applyBorder="1" applyAlignment="1" applyProtection="1"/>
    <xf numFmtId="0" fontId="2" fillId="0" borderId="3" xfId="0" applyFont="1" applyFill="1" applyBorder="1" applyAlignment="1" applyProtection="1">
      <alignment horizontal="center"/>
    </xf>
    <xf numFmtId="0" fontId="2" fillId="0" borderId="4" xfId="0" applyFont="1" applyFill="1" applyBorder="1" applyAlignment="1" applyProtection="1">
      <alignment horizontal="center"/>
    </xf>
    <xf numFmtId="0" fontId="2" fillId="0" borderId="8" xfId="0" applyFont="1" applyFill="1" applyBorder="1" applyAlignment="1" applyProtection="1">
      <alignment horizontal="center"/>
    </xf>
    <xf numFmtId="0" fontId="0" fillId="0" borderId="13" xfId="0" applyFill="1" applyBorder="1" applyAlignment="1" applyProtection="1">
      <alignment horizontal="center"/>
    </xf>
    <xf numFmtId="0" fontId="2" fillId="0" borderId="9" xfId="0" applyFont="1" applyFill="1" applyBorder="1" applyProtection="1"/>
    <xf numFmtId="0" fontId="8" fillId="5" borderId="0" xfId="0" applyFont="1" applyFill="1" applyBorder="1" applyAlignment="1" applyProtection="1">
      <alignment vertical="center" wrapText="1"/>
    </xf>
    <xf numFmtId="0" fontId="109" fillId="0" borderId="0" xfId="0" applyFont="1" applyProtection="1"/>
    <xf numFmtId="0" fontId="2" fillId="0" borderId="12" xfId="546" applyFont="1" applyFill="1" applyBorder="1" applyAlignment="1" applyProtection="1"/>
    <xf numFmtId="0" fontId="2" fillId="0" borderId="3" xfId="546" applyFont="1" applyFill="1" applyBorder="1" applyAlignment="1" applyProtection="1"/>
    <xf numFmtId="0" fontId="2" fillId="0" borderId="8" xfId="546" applyFont="1" applyFill="1" applyBorder="1" applyAlignment="1" applyProtection="1"/>
    <xf numFmtId="0" fontId="2" fillId="0" borderId="4" xfId="546" applyFont="1" applyFill="1" applyBorder="1" applyAlignment="1" applyProtection="1"/>
    <xf numFmtId="0" fontId="9" fillId="0" borderId="8" xfId="0" applyFont="1" applyBorder="1" applyAlignment="1" applyProtection="1"/>
    <xf numFmtId="0" fontId="9" fillId="0" borderId="3" xfId="574" applyFont="1" applyBorder="1" applyAlignment="1" applyProtection="1"/>
    <xf numFmtId="0" fontId="9" fillId="0" borderId="4" xfId="574" applyFont="1" applyBorder="1" applyAlignment="1" applyProtection="1"/>
    <xf numFmtId="0" fontId="9" fillId="0" borderId="8" xfId="574" applyFont="1" applyBorder="1" applyAlignment="1" applyProtection="1"/>
    <xf numFmtId="0" fontId="109" fillId="0" borderId="0" xfId="0" applyFont="1" applyAlignment="1" applyProtection="1"/>
    <xf numFmtId="0" fontId="9" fillId="0" borderId="0" xfId="574" applyFont="1" applyProtection="1"/>
    <xf numFmtId="0" fontId="2" fillId="0" borderId="0" xfId="574" applyFont="1" applyProtection="1"/>
    <xf numFmtId="0" fontId="10" fillId="0" borderId="0" xfId="574" applyFont="1" applyFill="1" applyBorder="1" applyAlignment="1" applyProtection="1">
      <alignment horizontal="center"/>
    </xf>
    <xf numFmtId="0" fontId="10" fillId="0" borderId="5" xfId="574" applyFont="1" applyFill="1" applyBorder="1" applyAlignment="1" applyProtection="1">
      <alignment horizontal="right"/>
    </xf>
    <xf numFmtId="0" fontId="10" fillId="0" borderId="5" xfId="574" applyFont="1" applyFill="1" applyBorder="1" applyAlignment="1" applyProtection="1">
      <alignment horizontal="left"/>
    </xf>
    <xf numFmtId="1" fontId="2" fillId="0" borderId="18" xfId="574" applyNumberFormat="1" applyFont="1" applyBorder="1" applyProtection="1"/>
    <xf numFmtId="1" fontId="9" fillId="0" borderId="15" xfId="574" applyNumberFormat="1" applyFont="1" applyBorder="1" applyProtection="1"/>
    <xf numFmtId="165" fontId="9" fillId="0" borderId="12" xfId="574" applyNumberFormat="1" applyFont="1" applyBorder="1" applyProtection="1"/>
    <xf numFmtId="1" fontId="2" fillId="0" borderId="12" xfId="574" applyNumberFormat="1" applyFont="1" applyBorder="1" applyProtection="1"/>
    <xf numFmtId="165" fontId="2" fillId="0" borderId="12" xfId="574" applyNumberFormat="1" applyFont="1" applyBorder="1" applyProtection="1"/>
    <xf numFmtId="171" fontId="2" fillId="0" borderId="12" xfId="574" applyNumberFormat="1" applyFont="1" applyBorder="1" applyProtection="1"/>
    <xf numFmtId="0" fontId="9" fillId="0" borderId="3" xfId="0" applyFont="1" applyFill="1" applyBorder="1" applyAlignment="1" applyProtection="1"/>
    <xf numFmtId="0" fontId="9" fillId="0" borderId="8" xfId="0" applyFont="1" applyFill="1" applyBorder="1" applyAlignment="1" applyProtection="1"/>
    <xf numFmtId="0" fontId="21" fillId="0" borderId="11" xfId="546" applyFont="1" applyFill="1" applyBorder="1" applyAlignment="1" applyProtection="1"/>
    <xf numFmtId="0" fontId="2" fillId="0" borderId="13" xfId="546" quotePrefix="1" applyFont="1" applyFill="1" applyBorder="1" applyAlignment="1" applyProtection="1"/>
    <xf numFmtId="0" fontId="2" fillId="0" borderId="13" xfId="546" applyFont="1" applyFill="1" applyBorder="1" applyAlignment="1" applyProtection="1"/>
    <xf numFmtId="0" fontId="2" fillId="0" borderId="10" xfId="546" applyFont="1" applyFill="1" applyBorder="1" applyAlignment="1" applyProtection="1"/>
    <xf numFmtId="0" fontId="9" fillId="0" borderId="13" xfId="546" applyFont="1" applyBorder="1" applyAlignment="1" applyProtection="1">
      <alignment horizontal="center" vertical="top"/>
    </xf>
    <xf numFmtId="0" fontId="10" fillId="0" borderId="7" xfId="546" applyFont="1" applyBorder="1" applyAlignment="1" applyProtection="1">
      <alignment horizontal="left" vertical="top" wrapText="1"/>
    </xf>
    <xf numFmtId="0" fontId="10" fillId="0" borderId="13" xfId="546" applyFont="1" applyBorder="1" applyAlignment="1" applyProtection="1">
      <alignment horizontal="center" vertical="top" wrapText="1"/>
    </xf>
    <xf numFmtId="0" fontId="10" fillId="0" borderId="1" xfId="546" applyFont="1" applyBorder="1" applyAlignment="1" applyProtection="1">
      <alignment horizontal="left" vertical="top" wrapText="1"/>
    </xf>
    <xf numFmtId="0" fontId="10" fillId="0" borderId="2" xfId="546" applyFont="1" applyBorder="1" applyAlignment="1" applyProtection="1">
      <alignment horizontal="center" vertical="top" wrapText="1"/>
    </xf>
    <xf numFmtId="0" fontId="10" fillId="0" borderId="0" xfId="546" applyFont="1" applyBorder="1" applyAlignment="1" applyProtection="1">
      <alignment horizontal="center" vertical="top" wrapText="1"/>
    </xf>
    <xf numFmtId="0" fontId="10" fillId="0" borderId="9" xfId="546" applyFont="1" applyBorder="1" applyAlignment="1" applyProtection="1">
      <alignment horizontal="left" vertical="top" wrapText="1"/>
    </xf>
    <xf numFmtId="0" fontId="10" fillId="0" borderId="5" xfId="546" applyFont="1" applyBorder="1" applyAlignment="1" applyProtection="1">
      <alignment horizontal="center" vertical="top" wrapText="1"/>
    </xf>
    <xf numFmtId="0" fontId="19" fillId="0" borderId="9" xfId="546" applyFont="1" applyBorder="1" applyAlignment="1" applyProtection="1">
      <alignment horizontal="left" vertical="top" wrapText="1"/>
    </xf>
    <xf numFmtId="0" fontId="19" fillId="0" borderId="7" xfId="546" applyFont="1" applyBorder="1" applyAlignment="1" applyProtection="1">
      <alignment horizontal="left" vertical="top" wrapText="1"/>
    </xf>
    <xf numFmtId="0" fontId="19" fillId="0" borderId="0" xfId="546" applyFont="1" applyBorder="1" applyAlignment="1" applyProtection="1">
      <alignment horizontal="center" vertical="top" wrapText="1"/>
    </xf>
    <xf numFmtId="0" fontId="47" fillId="0" borderId="9" xfId="546" applyFont="1" applyBorder="1" applyAlignment="1" applyProtection="1">
      <alignment vertical="top"/>
    </xf>
    <xf numFmtId="0" fontId="29" fillId="0" borderId="7" xfId="546" applyFont="1" applyBorder="1" applyAlignment="1" applyProtection="1">
      <alignment vertical="center" wrapText="1"/>
    </xf>
    <xf numFmtId="0" fontId="29" fillId="0" borderId="0" xfId="546" applyFont="1" applyBorder="1" applyAlignment="1" applyProtection="1">
      <alignment vertical="center" wrapText="1"/>
    </xf>
    <xf numFmtId="0" fontId="29" fillId="0" borderId="13" xfId="546" applyFont="1" applyBorder="1" applyAlignment="1" applyProtection="1">
      <alignment vertical="center" wrapText="1"/>
    </xf>
    <xf numFmtId="0" fontId="29" fillId="0" borderId="9" xfId="546" applyFont="1" applyBorder="1" applyAlignment="1" applyProtection="1">
      <alignment vertical="center" wrapText="1"/>
    </xf>
    <xf numFmtId="0" fontId="29" fillId="0" borderId="5" xfId="546" applyFont="1" applyBorder="1" applyAlignment="1" applyProtection="1">
      <alignment vertical="center" wrapText="1"/>
    </xf>
    <xf numFmtId="0" fontId="29" fillId="0" borderId="10" xfId="546" applyFont="1" applyBorder="1" applyAlignment="1" applyProtection="1">
      <alignment vertical="center" wrapText="1"/>
    </xf>
    <xf numFmtId="0" fontId="9" fillId="0" borderId="11" xfId="546" applyFont="1" applyBorder="1" applyAlignment="1" applyProtection="1">
      <alignment horizontal="right"/>
    </xf>
    <xf numFmtId="0" fontId="19" fillId="0" borderId="4" xfId="546" applyNumberFormat="1" applyFont="1" applyBorder="1" applyAlignment="1" applyProtection="1">
      <alignment horizontal="right" vertical="top" wrapText="1"/>
    </xf>
    <xf numFmtId="0" fontId="22" fillId="0" borderId="0" xfId="0" applyFont="1" applyFill="1" applyBorder="1" applyAlignment="1" applyProtection="1">
      <alignment horizontal="left"/>
    </xf>
    <xf numFmtId="0" fontId="2" fillId="0" borderId="0" xfId="259" applyFont="1" applyAlignment="1" applyProtection="1">
      <alignment horizontal="center"/>
    </xf>
    <xf numFmtId="0" fontId="43" fillId="0" borderId="0" xfId="259" applyFont="1" applyAlignment="1" applyProtection="1">
      <alignment horizontal="center"/>
    </xf>
    <xf numFmtId="0" fontId="2" fillId="0" borderId="0" xfId="259" applyFont="1" applyAlignment="1">
      <alignment horizontal="left" vertical="top" wrapText="1"/>
    </xf>
    <xf numFmtId="0" fontId="39" fillId="2" borderId="12" xfId="574" applyFont="1" applyFill="1" applyBorder="1" applyAlignment="1" applyProtection="1">
      <alignment horizontal="left" vertical="top" wrapText="1"/>
    </xf>
    <xf numFmtId="0" fontId="25" fillId="0" borderId="12" xfId="259" applyFont="1" applyBorder="1" applyAlignment="1" applyProtection="1">
      <alignment horizontal="right" vertical="top" wrapText="1"/>
    </xf>
    <xf numFmtId="0" fontId="46" fillId="0" borderId="12" xfId="259" applyFont="1" applyBorder="1" applyAlignment="1" applyProtection="1">
      <alignment horizontal="right" vertical="top" wrapText="1"/>
    </xf>
    <xf numFmtId="0" fontId="25" fillId="0" borderId="12" xfId="259" applyFont="1" applyFill="1" applyBorder="1" applyAlignment="1" applyProtection="1">
      <alignment horizontal="right" vertical="top"/>
    </xf>
    <xf numFmtId="0" fontId="25" fillId="0" borderId="12" xfId="259" applyFont="1" applyFill="1" applyBorder="1" applyAlignment="1" applyProtection="1">
      <alignment horizontal="right" vertical="top" wrapText="1"/>
    </xf>
    <xf numFmtId="0" fontId="9" fillId="0" borderId="12" xfId="574" applyFont="1" applyBorder="1" applyAlignment="1" applyProtection="1">
      <alignment horizontal="right" vertical="top" wrapText="1"/>
    </xf>
    <xf numFmtId="0" fontId="2" fillId="0" borderId="12" xfId="574" applyFont="1" applyBorder="1" applyAlignment="1" applyProtection="1">
      <alignment horizontal="right" vertical="top" wrapText="1"/>
    </xf>
    <xf numFmtId="0" fontId="2" fillId="0" borderId="12" xfId="574" applyFont="1" applyFill="1" applyBorder="1" applyAlignment="1" applyProtection="1">
      <alignment horizontal="right" vertical="top" wrapText="1"/>
      <protection locked="0"/>
    </xf>
    <xf numFmtId="0" fontId="20" fillId="0" borderId="12" xfId="574" applyFont="1" applyBorder="1" applyAlignment="1" applyProtection="1">
      <alignment horizontal="right" vertical="top" wrapText="1"/>
    </xf>
    <xf numFmtId="0" fontId="25" fillId="0" borderId="12" xfId="574" applyFont="1" applyBorder="1" applyAlignment="1" applyProtection="1">
      <alignment horizontal="right" vertical="top"/>
    </xf>
    <xf numFmtId="0" fontId="2" fillId="7" borderId="12" xfId="574" applyFont="1" applyFill="1" applyBorder="1" applyAlignment="1" applyProtection="1">
      <alignment horizontal="right" vertical="top" wrapText="1"/>
      <protection locked="0"/>
    </xf>
    <xf numFmtId="0" fontId="11" fillId="7" borderId="8" xfId="0" applyFont="1" applyFill="1" applyBorder="1" applyAlignment="1" applyProtection="1">
      <alignment vertical="top" wrapText="1"/>
      <protection locked="0"/>
    </xf>
    <xf numFmtId="169" fontId="11" fillId="0" borderId="12" xfId="0" applyNumberFormat="1" applyFont="1" applyFill="1" applyBorder="1" applyAlignment="1" applyProtection="1">
      <alignment vertical="top" wrapText="1"/>
      <protection locked="0"/>
    </xf>
    <xf numFmtId="0" fontId="11" fillId="0" borderId="0" xfId="0" applyFont="1" applyAlignment="1" applyProtection="1">
      <alignment wrapText="1"/>
    </xf>
    <xf numFmtId="0" fontId="11" fillId="0" borderId="0" xfId="0" applyFont="1" applyAlignment="1" applyProtection="1"/>
    <xf numFmtId="0" fontId="0" fillId="7" borderId="5" xfId="0" applyFill="1" applyBorder="1" applyAlignment="1" applyProtection="1">
      <alignment horizontal="left"/>
      <protection locked="0"/>
    </xf>
    <xf numFmtId="0" fontId="0" fillId="7" borderId="4" xfId="0" applyFill="1" applyBorder="1" applyAlignment="1" applyProtection="1">
      <alignment horizontal="left"/>
      <protection locked="0"/>
    </xf>
    <xf numFmtId="169" fontId="0" fillId="7" borderId="0" xfId="273" applyNumberFormat="1" applyFont="1" applyFill="1"/>
    <xf numFmtId="3" fontId="0" fillId="7" borderId="0" xfId="273" applyNumberFormat="1" applyFont="1" applyFill="1"/>
    <xf numFmtId="3" fontId="0" fillId="0" borderId="0" xfId="273" applyNumberFormat="1" applyFont="1"/>
    <xf numFmtId="10" fontId="11" fillId="0" borderId="0" xfId="273" applyNumberFormat="1" applyFont="1" applyBorder="1" applyAlignment="1">
      <alignment horizontal="center"/>
    </xf>
    <xf numFmtId="0" fontId="0" fillId="0" borderId="0" xfId="273" applyFont="1"/>
    <xf numFmtId="0" fontId="2" fillId="0" borderId="0" xfId="0" applyFont="1" applyBorder="1" applyAlignment="1">
      <alignment horizontal="left" vertical="top" wrapText="1"/>
    </xf>
    <xf numFmtId="0" fontId="109" fillId="0" borderId="0" xfId="0" applyFont="1" applyBorder="1" applyAlignment="1">
      <alignment horizontal="left" vertical="top" wrapText="1"/>
    </xf>
    <xf numFmtId="0" fontId="3" fillId="0" borderId="0" xfId="245" applyFill="1" applyBorder="1" applyAlignment="1" applyProtection="1">
      <alignment horizontal="left"/>
    </xf>
    <xf numFmtId="0" fontId="3" fillId="0" borderId="0" xfId="245" applyBorder="1" applyAlignment="1" applyProtection="1">
      <alignment horizontal="left"/>
    </xf>
    <xf numFmtId="0" fontId="2" fillId="0" borderId="0" xfId="0" applyFont="1" applyBorder="1" applyAlignment="1">
      <alignment horizontal="left" wrapText="1"/>
    </xf>
    <xf numFmtId="0" fontId="11" fillId="0" borderId="0" xfId="0" applyFont="1" applyBorder="1" applyAlignment="1">
      <alignment horizontal="left" wrapText="1"/>
    </xf>
    <xf numFmtId="0" fontId="112" fillId="0" borderId="0" xfId="0" applyFont="1" applyFill="1" applyBorder="1" applyAlignment="1">
      <alignment horizontal="left" wrapText="1"/>
    </xf>
    <xf numFmtId="0" fontId="11" fillId="0" borderId="0" xfId="0" applyFont="1" applyBorder="1" applyAlignment="1">
      <alignment horizontal="left" vertical="top" wrapText="1"/>
    </xf>
    <xf numFmtId="0" fontId="9" fillId="0" borderId="0" xfId="0" applyFont="1" applyBorder="1" applyAlignment="1">
      <alignment horizontal="left" vertical="top" wrapText="1"/>
    </xf>
    <xf numFmtId="0" fontId="35" fillId="0" borderId="0" xfId="0" applyFont="1" applyAlignment="1">
      <alignment horizontal="left" vertical="top" wrapText="1"/>
    </xf>
    <xf numFmtId="0" fontId="8" fillId="5" borderId="0" xfId="0" applyFont="1" applyFill="1" applyBorder="1" applyAlignment="1" applyProtection="1">
      <alignment horizontal="center" vertical="center" wrapText="1"/>
    </xf>
    <xf numFmtId="0" fontId="8" fillId="5" borderId="13" xfId="0" applyFont="1" applyFill="1" applyBorder="1" applyAlignment="1" applyProtection="1">
      <alignment horizontal="center" vertical="center" wrapText="1"/>
    </xf>
    <xf numFmtId="0" fontId="8" fillId="5" borderId="6" xfId="0" applyFont="1" applyFill="1" applyBorder="1" applyAlignment="1" applyProtection="1">
      <alignment horizontal="center" vertical="center" wrapText="1"/>
    </xf>
    <xf numFmtId="0" fontId="8" fillId="5" borderId="43" xfId="0" applyFont="1" applyFill="1" applyBorder="1" applyAlignment="1" applyProtection="1">
      <alignment horizontal="center" vertical="center" wrapText="1"/>
    </xf>
    <xf numFmtId="0" fontId="2" fillId="0" borderId="0" xfId="273" applyFont="1" applyBorder="1" applyAlignment="1">
      <alignment horizontal="left" vertical="top" wrapText="1"/>
    </xf>
    <xf numFmtId="0" fontId="35" fillId="0" borderId="0" xfId="0" applyFont="1" applyBorder="1" applyAlignment="1">
      <alignment horizontal="left" vertical="top" wrapText="1"/>
    </xf>
    <xf numFmtId="0" fontId="35" fillId="0" borderId="0" xfId="0" applyFont="1" applyFill="1" applyBorder="1" applyAlignment="1">
      <alignment horizontal="left" vertical="top" wrapText="1"/>
    </xf>
    <xf numFmtId="0" fontId="3" fillId="0" borderId="0" xfId="245" applyAlignment="1" applyProtection="1">
      <alignment horizontal="left"/>
    </xf>
    <xf numFmtId="0" fontId="9" fillId="0" borderId="0" xfId="0" applyFont="1" applyAlignment="1" applyProtection="1">
      <alignment wrapText="1"/>
    </xf>
    <xf numFmtId="0" fontId="17" fillId="0" borderId="0" xfId="0" applyFont="1" applyAlignment="1" applyProtection="1">
      <alignment horizontal="center"/>
    </xf>
    <xf numFmtId="0" fontId="0" fillId="0" borderId="0" xfId="0" applyAlignment="1" applyProtection="1"/>
    <xf numFmtId="0" fontId="18" fillId="0" borderId="0" xfId="0" applyFont="1" applyAlignment="1" applyProtection="1">
      <alignment horizontal="center"/>
    </xf>
    <xf numFmtId="0" fontId="2" fillId="0" borderId="0" xfId="0" applyFont="1" applyAlignment="1" applyProtection="1">
      <alignment wrapText="1"/>
    </xf>
    <xf numFmtId="0" fontId="0" fillId="0" borderId="0" xfId="0" applyAlignment="1" applyProtection="1">
      <alignment wrapText="1"/>
    </xf>
    <xf numFmtId="0" fontId="11" fillId="0" borderId="0" xfId="0" applyFont="1" applyAlignment="1" applyProtection="1">
      <alignment wrapText="1"/>
    </xf>
    <xf numFmtId="0" fontId="11" fillId="0" borderId="0" xfId="0" applyFont="1" applyAlignment="1" applyProtection="1"/>
    <xf numFmtId="0" fontId="2" fillId="0" borderId="0" xfId="259" applyFont="1" applyAlignment="1">
      <alignment horizontal="left" vertical="top" wrapText="1"/>
    </xf>
    <xf numFmtId="4" fontId="2" fillId="0" borderId="0" xfId="0" applyNumberFormat="1" applyFont="1" applyFill="1" applyAlignment="1" applyProtection="1">
      <alignment horizontal="left" vertical="top" wrapText="1"/>
    </xf>
    <xf numFmtId="0" fontId="11" fillId="0" borderId="0" xfId="0" applyFont="1" applyAlignment="1">
      <alignment horizontal="left" vertical="top" wrapText="1"/>
    </xf>
    <xf numFmtId="0" fontId="11" fillId="0" borderId="0" xfId="0" applyFont="1" applyAlignment="1">
      <alignment horizontal="left"/>
    </xf>
    <xf numFmtId="4" fontId="11" fillId="0" borderId="0" xfId="0" applyNumberFormat="1" applyFont="1" applyAlignment="1" applyProtection="1">
      <alignment horizontal="left" vertical="top" wrapText="1"/>
    </xf>
    <xf numFmtId="4" fontId="11" fillId="0" borderId="0" xfId="0" applyNumberFormat="1" applyFont="1" applyAlignment="1" applyProtection="1">
      <alignment horizontal="left"/>
    </xf>
    <xf numFmtId="0" fontId="21" fillId="0" borderId="0" xfId="0" applyFont="1" applyAlignment="1">
      <alignment horizontal="left"/>
    </xf>
    <xf numFmtId="0" fontId="11" fillId="0" borderId="0" xfId="0" applyFont="1" applyFill="1" applyAlignment="1">
      <alignment horizontal="left" vertical="top" wrapText="1"/>
    </xf>
    <xf numFmtId="0" fontId="2" fillId="0" borderId="0" xfId="0" applyFont="1" applyAlignment="1">
      <alignment horizontal="left"/>
    </xf>
    <xf numFmtId="0" fontId="2" fillId="0" borderId="0" xfId="0" applyFont="1" applyAlignment="1">
      <alignment horizontal="left" vertical="top" wrapText="1"/>
    </xf>
    <xf numFmtId="0" fontId="2" fillId="0" borderId="0" xfId="0" applyFont="1" applyFill="1" applyAlignment="1">
      <alignment horizontal="left" vertical="top" wrapText="1"/>
    </xf>
    <xf numFmtId="0" fontId="11" fillId="0" borderId="0" xfId="0" applyFont="1" applyFill="1" applyBorder="1" applyAlignment="1" applyProtection="1">
      <alignment horizontal="left" vertical="top" wrapText="1"/>
    </xf>
    <xf numFmtId="0" fontId="11" fillId="0" borderId="0" xfId="0" applyFont="1" applyFill="1" applyBorder="1" applyAlignment="1" applyProtection="1">
      <alignment horizontal="left" wrapText="1"/>
    </xf>
    <xf numFmtId="4" fontId="11" fillId="0" borderId="0" xfId="273" applyNumberFormat="1" applyFont="1" applyFill="1" applyAlignment="1" applyProtection="1">
      <alignment horizontal="left" vertical="top" wrapText="1"/>
    </xf>
    <xf numFmtId="4" fontId="21" fillId="0" borderId="0" xfId="0" applyNumberFormat="1" applyFont="1" applyFill="1" applyAlignment="1" applyProtection="1">
      <alignment horizontal="left"/>
    </xf>
    <xf numFmtId="49" fontId="2" fillId="0" borderId="0" xfId="0" applyNumberFormat="1" applyFont="1" applyFill="1" applyAlignment="1">
      <alignment horizontal="left" vertical="top" wrapText="1"/>
    </xf>
    <xf numFmtId="49" fontId="11" fillId="0" borderId="0" xfId="0" applyNumberFormat="1" applyFont="1" applyFill="1" applyAlignment="1">
      <alignment horizontal="left" vertical="top" wrapText="1"/>
    </xf>
    <xf numFmtId="0" fontId="21" fillId="0" borderId="0" xfId="0" applyFont="1" applyFill="1" applyBorder="1" applyAlignment="1" applyProtection="1">
      <alignment horizontal="left" vertical="top" wrapText="1"/>
    </xf>
    <xf numFmtId="0" fontId="9" fillId="0" borderId="0" xfId="0" applyFont="1" applyFill="1" applyAlignment="1">
      <alignment horizontal="left" vertical="top" wrapText="1"/>
    </xf>
    <xf numFmtId="0" fontId="9" fillId="0" borderId="0" xfId="273" applyFont="1" applyFill="1" applyAlignment="1">
      <alignment horizontal="left" vertical="top" wrapText="1"/>
    </xf>
    <xf numFmtId="0" fontId="21" fillId="0" borderId="0" xfId="273" applyFont="1" applyFill="1" applyAlignment="1">
      <alignment horizontal="left" vertical="top" wrapText="1"/>
    </xf>
    <xf numFmtId="0" fontId="11" fillId="0" borderId="0" xfId="0" applyFont="1" applyAlignment="1">
      <alignment horizontal="left" vertical="top"/>
    </xf>
    <xf numFmtId="49" fontId="9" fillId="0" borderId="0" xfId="0" applyNumberFormat="1" applyFont="1" applyAlignment="1">
      <alignment horizontal="left" vertical="top"/>
    </xf>
    <xf numFmtId="0" fontId="9" fillId="0" borderId="4" xfId="0" applyFont="1" applyBorder="1" applyAlignment="1" applyProtection="1">
      <alignment horizontal="left" vertical="top"/>
    </xf>
    <xf numFmtId="0" fontId="21" fillId="0" borderId="0" xfId="0" applyFont="1" applyFill="1" applyAlignment="1">
      <alignment horizontal="left" vertical="top" wrapText="1"/>
    </xf>
    <xf numFmtId="49" fontId="9" fillId="0" borderId="0" xfId="0" applyNumberFormat="1" applyFont="1" applyAlignment="1">
      <alignment horizontal="left"/>
    </xf>
    <xf numFmtId="0" fontId="2" fillId="0" borderId="0" xfId="0" quotePrefix="1" applyFont="1" applyAlignment="1">
      <alignment horizontal="left" vertical="top"/>
    </xf>
    <xf numFmtId="0" fontId="11" fillId="0" borderId="0" xfId="0" quotePrefix="1" applyFont="1" applyAlignment="1">
      <alignment horizontal="left" vertical="top"/>
    </xf>
    <xf numFmtId="4" fontId="21" fillId="0" borderId="0" xfId="0" applyNumberFormat="1" applyFont="1" applyFill="1" applyAlignment="1" applyProtection="1">
      <alignment horizontal="left" vertical="top" wrapText="1"/>
    </xf>
    <xf numFmtId="0" fontId="11" fillId="0" borderId="0" xfId="273" applyFont="1" applyFill="1" applyAlignment="1">
      <alignment horizontal="left"/>
    </xf>
    <xf numFmtId="0" fontId="21" fillId="0" borderId="0" xfId="0" applyFont="1" applyAlignment="1">
      <alignment horizontal="left" vertical="top" wrapText="1"/>
    </xf>
    <xf numFmtId="0" fontId="9" fillId="0" borderId="0" xfId="0" applyFont="1" applyAlignment="1">
      <alignment horizontal="left" vertical="top" wrapText="1"/>
    </xf>
    <xf numFmtId="0" fontId="21" fillId="0" borderId="0" xfId="259" applyFont="1" applyAlignment="1">
      <alignment horizontal="left"/>
    </xf>
    <xf numFmtId="0" fontId="11" fillId="0" borderId="0" xfId="259" applyFont="1" applyAlignment="1">
      <alignment horizontal="left" vertical="top" wrapText="1"/>
    </xf>
    <xf numFmtId="0" fontId="11" fillId="0" borderId="0" xfId="259" applyFont="1" applyAlignment="1">
      <alignment horizontal="left"/>
    </xf>
    <xf numFmtId="0" fontId="2" fillId="0" borderId="0" xfId="259" applyFont="1" applyFill="1" applyAlignment="1">
      <alignment horizontal="left" vertical="top" wrapText="1"/>
    </xf>
    <xf numFmtId="0" fontId="21" fillId="0" borderId="0" xfId="0" applyFont="1" applyBorder="1" applyAlignment="1">
      <alignment horizontal="left"/>
    </xf>
    <xf numFmtId="0" fontId="11" fillId="0" borderId="0" xfId="0" applyFont="1" applyBorder="1" applyAlignment="1">
      <alignment horizontal="left"/>
    </xf>
    <xf numFmtId="4" fontId="11" fillId="0" borderId="0" xfId="0" applyNumberFormat="1" applyFont="1" applyFill="1" applyAlignment="1" applyProtection="1">
      <alignment horizontal="left" vertical="top" wrapText="1"/>
    </xf>
    <xf numFmtId="4" fontId="3" fillId="0" borderId="0" xfId="245" applyNumberFormat="1" applyFill="1" applyAlignment="1" applyProtection="1">
      <alignment horizontal="left"/>
    </xf>
    <xf numFmtId="0" fontId="11" fillId="0" borderId="0" xfId="0" applyFont="1" applyFill="1" applyAlignment="1" applyProtection="1">
      <alignment horizontal="left" vertical="top" wrapText="1"/>
    </xf>
    <xf numFmtId="0" fontId="2" fillId="0" borderId="0" xfId="0" applyFont="1" applyFill="1" applyAlignment="1" applyProtection="1">
      <alignment horizontal="left" vertical="top" wrapText="1"/>
    </xf>
    <xf numFmtId="0" fontId="3" fillId="0" borderId="0" xfId="245" quotePrefix="1" applyAlignment="1" applyProtection="1">
      <alignment horizontal="left"/>
    </xf>
    <xf numFmtId="0" fontId="9" fillId="0" borderId="0" xfId="0" applyFont="1" applyAlignment="1">
      <alignment horizontal="left"/>
    </xf>
    <xf numFmtId="0" fontId="11" fillId="0" borderId="0" xfId="0" quotePrefix="1" applyFont="1" applyAlignment="1">
      <alignment horizontal="left" vertical="top" wrapText="1"/>
    </xf>
    <xf numFmtId="0" fontId="21" fillId="0" borderId="0" xfId="0" applyFont="1" applyAlignment="1">
      <alignment horizontal="left" vertical="top"/>
    </xf>
    <xf numFmtId="0" fontId="11" fillId="0" borderId="0" xfId="259" applyFont="1" applyFill="1" applyAlignment="1">
      <alignment horizontal="left" vertical="top" wrapText="1"/>
    </xf>
    <xf numFmtId="4" fontId="11" fillId="0" borderId="0" xfId="273" applyNumberFormat="1" applyFont="1" applyAlignment="1" applyProtection="1">
      <alignment horizontal="left" vertical="top" wrapText="1"/>
    </xf>
    <xf numFmtId="0" fontId="11" fillId="0" borderId="0" xfId="0" applyFont="1" applyFill="1" applyAlignment="1">
      <alignment horizontal="left"/>
    </xf>
    <xf numFmtId="4" fontId="11" fillId="0" borderId="0" xfId="278" applyNumberFormat="1" applyFont="1" applyAlignment="1" applyProtection="1">
      <alignment horizontal="left" vertical="top" wrapText="1"/>
    </xf>
    <xf numFmtId="0" fontId="11" fillId="0" borderId="0" xfId="0" applyFont="1" applyAlignment="1">
      <alignment vertical="top"/>
    </xf>
    <xf numFmtId="0" fontId="2" fillId="0" borderId="0" xfId="0" applyFont="1" applyBorder="1" applyAlignment="1">
      <alignment horizontal="left" vertical="top"/>
    </xf>
    <xf numFmtId="0" fontId="11" fillId="0" borderId="0" xfId="0" applyFont="1" applyBorder="1" applyAlignment="1">
      <alignment horizontal="left" vertical="top"/>
    </xf>
    <xf numFmtId="0" fontId="3" fillId="0" borderId="0" xfId="245" applyNumberFormat="1" applyFill="1" applyAlignment="1" applyProtection="1">
      <alignment horizontal="left"/>
      <protection locked="0"/>
    </xf>
    <xf numFmtId="0" fontId="9" fillId="0" borderId="4" xfId="0" applyFont="1" applyBorder="1" applyAlignment="1" applyProtection="1">
      <alignment horizontal="left"/>
    </xf>
    <xf numFmtId="0" fontId="37" fillId="0" borderId="0" xfId="0" applyFont="1" applyBorder="1" applyAlignment="1">
      <alignment horizontal="left" vertical="top"/>
    </xf>
    <xf numFmtId="0" fontId="2" fillId="0" borderId="0" xfId="278" applyFont="1" applyAlignment="1" applyProtection="1">
      <alignment horizontal="left" vertical="top" wrapText="1"/>
    </xf>
    <xf numFmtId="0" fontId="2" fillId="0" borderId="0" xfId="278" applyFont="1" applyFill="1" applyAlignment="1">
      <alignment horizontal="left" vertical="top" wrapText="1"/>
    </xf>
    <xf numFmtId="0" fontId="11" fillId="0" borderId="0" xfId="278" applyFont="1" applyFill="1" applyAlignment="1">
      <alignment horizontal="left" vertical="top" wrapText="1"/>
    </xf>
    <xf numFmtId="0" fontId="11" fillId="0" borderId="0" xfId="278" applyFont="1" applyAlignment="1">
      <alignment horizontal="left" vertical="top" wrapText="1"/>
    </xf>
    <xf numFmtId="0" fontId="9" fillId="0" borderId="4" xfId="0" applyFont="1" applyFill="1" applyBorder="1" applyAlignment="1" applyProtection="1">
      <alignment horizontal="left"/>
    </xf>
    <xf numFmtId="4" fontId="11" fillId="0" borderId="0" xfId="0" applyNumberFormat="1" applyFont="1" applyFill="1" applyAlignment="1" applyProtection="1">
      <alignment horizontal="left"/>
    </xf>
    <xf numFmtId="49" fontId="11" fillId="0" borderId="0" xfId="0" applyNumberFormat="1" applyFont="1" applyAlignment="1">
      <alignment horizontal="left" vertical="top" wrapText="1"/>
    </xf>
    <xf numFmtId="49" fontId="11" fillId="0" borderId="0" xfId="273" applyNumberFormat="1" applyFont="1" applyFill="1" applyAlignment="1">
      <alignment horizontal="left" vertical="top" wrapText="1"/>
    </xf>
    <xf numFmtId="49" fontId="2" fillId="0" borderId="0" xfId="0" applyNumberFormat="1" applyFont="1" applyAlignment="1">
      <alignment horizontal="left" vertical="top" wrapText="1"/>
    </xf>
    <xf numFmtId="0" fontId="11" fillId="0" borderId="0" xfId="273" applyFont="1" applyFill="1" applyAlignment="1">
      <alignment horizontal="left" vertical="top" wrapText="1"/>
    </xf>
    <xf numFmtId="0" fontId="37" fillId="0" borderId="0" xfId="0" applyFont="1" applyAlignment="1">
      <alignment horizontal="left"/>
    </xf>
    <xf numFmtId="0" fontId="21" fillId="0" borderId="0" xfId="0" applyFont="1" applyFill="1" applyAlignment="1">
      <alignment horizontal="left"/>
    </xf>
    <xf numFmtId="4" fontId="2" fillId="0" borderId="0" xfId="0" applyNumberFormat="1" applyFont="1" applyFill="1" applyAlignment="1" applyProtection="1">
      <alignment horizontal="left"/>
    </xf>
    <xf numFmtId="0" fontId="9" fillId="0" borderId="0" xfId="0" applyFont="1" applyAlignment="1">
      <alignment horizontal="left" vertical="top"/>
    </xf>
    <xf numFmtId="0" fontId="11" fillId="0" borderId="0" xfId="0" applyFont="1" applyFill="1" applyBorder="1" applyAlignment="1">
      <alignment horizontal="left" vertical="top" wrapText="1"/>
    </xf>
    <xf numFmtId="0" fontId="11" fillId="0" borderId="0" xfId="0" applyFont="1" applyFill="1" applyAlignment="1">
      <alignment horizontal="left" vertical="top"/>
    </xf>
    <xf numFmtId="0" fontId="21" fillId="0" borderId="0" xfId="0" applyFont="1" applyFill="1" applyBorder="1" applyAlignment="1">
      <alignment horizontal="left" vertical="top"/>
    </xf>
    <xf numFmtId="0" fontId="11" fillId="0" borderId="0" xfId="0" applyFont="1" applyFill="1" applyBorder="1" applyAlignment="1">
      <alignment horizontal="left" vertical="top"/>
    </xf>
    <xf numFmtId="0" fontId="11" fillId="0" borderId="0" xfId="273" applyFont="1" applyAlignment="1">
      <alignment horizontal="left" wrapText="1"/>
    </xf>
    <xf numFmtId="4" fontId="2" fillId="0" borderId="0" xfId="0" applyNumberFormat="1" applyFont="1" applyAlignment="1" applyProtection="1">
      <alignment horizontal="left" vertical="top" wrapText="1"/>
    </xf>
    <xf numFmtId="0" fontId="9" fillId="0" borderId="0" xfId="0" applyFont="1" applyBorder="1" applyAlignment="1">
      <alignment horizontal="left" vertical="top"/>
    </xf>
    <xf numFmtId="0" fontId="2" fillId="0" borderId="0" xfId="0" applyFont="1" applyAlignment="1">
      <alignment horizontal="left" vertical="top"/>
    </xf>
    <xf numFmtId="0" fontId="0" fillId="0" borderId="0" xfId="0" applyAlignment="1">
      <alignment horizontal="left" vertical="top" wrapText="1"/>
    </xf>
    <xf numFmtId="0" fontId="21" fillId="0" borderId="0" xfId="0" applyFont="1" applyAlignment="1">
      <alignment horizontal="center"/>
    </xf>
    <xf numFmtId="0" fontId="0" fillId="0" borderId="0" xfId="0" applyAlignment="1"/>
    <xf numFmtId="0" fontId="9" fillId="0" borderId="0" xfId="273" applyFont="1" applyFill="1" applyAlignment="1" applyProtection="1">
      <alignment horizontal="center"/>
    </xf>
    <xf numFmtId="0" fontId="11" fillId="0" borderId="0" xfId="273" applyFill="1" applyAlignment="1" applyProtection="1"/>
    <xf numFmtId="0" fontId="21" fillId="0" borderId="0" xfId="0" applyFont="1" applyFill="1" applyAlignment="1">
      <alignment horizontal="center"/>
    </xf>
    <xf numFmtId="0" fontId="0" fillId="0" borderId="0" xfId="0" applyFill="1" applyAlignment="1">
      <alignment horizontal="center"/>
    </xf>
    <xf numFmtId="0" fontId="9" fillId="0" borderId="4" xfId="0" applyFont="1" applyBorder="1" applyAlignment="1">
      <alignment horizontal="left"/>
    </xf>
    <xf numFmtId="0" fontId="21" fillId="0" borderId="0" xfId="0" applyFont="1" applyAlignment="1">
      <alignment horizontal="left" wrapText="1"/>
    </xf>
    <xf numFmtId="0" fontId="11" fillId="0" borderId="0" xfId="0" applyFont="1" applyAlignment="1" applyProtection="1">
      <alignment horizontal="left" vertical="top" wrapText="1"/>
    </xf>
    <xf numFmtId="0" fontId="2" fillId="0" borderId="0" xfId="0" applyFont="1" applyFill="1" applyBorder="1" applyAlignment="1">
      <alignment horizontal="left" vertical="top" wrapText="1"/>
    </xf>
    <xf numFmtId="0" fontId="21" fillId="0" borderId="0" xfId="0" applyFont="1" applyBorder="1" applyAlignment="1">
      <alignment horizontal="left" vertical="top"/>
    </xf>
    <xf numFmtId="0" fontId="11" fillId="0" borderId="0" xfId="273" applyFont="1" applyAlignment="1" applyProtection="1">
      <alignment horizontal="left"/>
    </xf>
    <xf numFmtId="0" fontId="9" fillId="0" borderId="6" xfId="0" applyFont="1" applyFill="1" applyBorder="1" applyAlignment="1" applyProtection="1">
      <alignment horizontal="left"/>
    </xf>
    <xf numFmtId="0" fontId="2" fillId="0" borderId="0" xfId="273" applyFont="1" applyAlignment="1" applyProtection="1">
      <alignment horizontal="left" vertical="top" wrapText="1"/>
    </xf>
    <xf numFmtId="0" fontId="11" fillId="0" borderId="0" xfId="273" applyFont="1" applyAlignment="1" applyProtection="1">
      <alignment horizontal="left" vertical="top" wrapText="1"/>
    </xf>
    <xf numFmtId="0" fontId="11" fillId="0" borderId="42" xfId="0" applyFont="1" applyBorder="1" applyAlignment="1">
      <alignment horizontal="left"/>
    </xf>
    <xf numFmtId="0" fontId="11" fillId="0" borderId="0" xfId="0" applyFont="1" applyAlignment="1" applyProtection="1">
      <alignment horizontal="left"/>
    </xf>
    <xf numFmtId="0" fontId="21" fillId="0" borderId="0" xfId="273" applyFont="1" applyAlignment="1" applyProtection="1">
      <alignment horizontal="left"/>
    </xf>
    <xf numFmtId="0" fontId="11" fillId="0" borderId="0" xfId="273" applyFont="1" applyFill="1" applyAlignment="1" applyProtection="1">
      <alignment horizontal="left"/>
    </xf>
    <xf numFmtId="0" fontId="11" fillId="0" borderId="0" xfId="273" applyFont="1" applyFill="1" applyAlignment="1" applyProtection="1">
      <alignment horizontal="left" vertical="top" wrapText="1"/>
    </xf>
    <xf numFmtId="4" fontId="2" fillId="0" borderId="0" xfId="273" applyNumberFormat="1" applyFont="1" applyFill="1" applyAlignment="1" applyProtection="1">
      <alignment horizontal="left" vertical="top" wrapText="1"/>
    </xf>
    <xf numFmtId="0" fontId="2" fillId="0" borderId="0" xfId="0" applyFont="1" applyAlignment="1" applyProtection="1">
      <alignment horizontal="left" vertical="top"/>
    </xf>
    <xf numFmtId="0" fontId="2" fillId="0" borderId="0" xfId="273" applyFont="1" applyFill="1" applyAlignment="1" applyProtection="1">
      <alignment horizontal="left"/>
    </xf>
    <xf numFmtId="0" fontId="11" fillId="0" borderId="0" xfId="273" applyFont="1" applyBorder="1" applyAlignment="1" applyProtection="1">
      <alignment horizontal="left" vertical="top" wrapText="1"/>
    </xf>
    <xf numFmtId="0" fontId="11" fillId="0" borderId="0" xfId="273" applyFont="1" applyFill="1" applyBorder="1" applyAlignment="1" applyProtection="1">
      <alignment horizontal="left" vertical="top" wrapText="1"/>
    </xf>
    <xf numFmtId="0" fontId="3" fillId="0" borderId="0" xfId="245" applyAlignment="1">
      <alignment horizontal="left"/>
    </xf>
    <xf numFmtId="0" fontId="2" fillId="0" borderId="0" xfId="0" applyFont="1" applyAlignment="1" applyProtection="1">
      <alignment horizontal="left" vertical="top" wrapText="1"/>
    </xf>
    <xf numFmtId="0" fontId="3" fillId="0" borderId="0" xfId="245" applyAlignment="1" applyProtection="1">
      <alignment horizontal="left" vertical="top" wrapText="1"/>
    </xf>
    <xf numFmtId="0" fontId="9" fillId="0" borderId="1" xfId="546" applyFont="1" applyBorder="1" applyAlignment="1" applyProtection="1">
      <alignment horizontal="left" vertical="center" wrapText="1"/>
    </xf>
    <xf numFmtId="0" fontId="9" fillId="0" borderId="2" xfId="546" applyFont="1" applyBorder="1" applyAlignment="1" applyProtection="1">
      <alignment horizontal="left" vertical="center" wrapText="1"/>
    </xf>
    <xf numFmtId="0" fontId="9" fillId="0" borderId="11" xfId="546" applyFont="1" applyBorder="1" applyAlignment="1" applyProtection="1">
      <alignment horizontal="left" vertical="center" wrapText="1"/>
    </xf>
    <xf numFmtId="0" fontId="10" fillId="7" borderId="3" xfId="546" applyFont="1" applyFill="1" applyBorder="1" applyAlignment="1" applyProtection="1">
      <alignment horizontal="center"/>
      <protection locked="0"/>
    </xf>
    <xf numFmtId="0" fontId="10" fillId="7" borderId="8" xfId="546" applyFont="1" applyFill="1" applyBorder="1" applyAlignment="1" applyProtection="1">
      <alignment horizontal="center"/>
      <protection locked="0"/>
    </xf>
    <xf numFmtId="169" fontId="2" fillId="0" borderId="1" xfId="546" applyNumberFormat="1" applyFont="1" applyFill="1" applyBorder="1" applyAlignment="1" applyProtection="1">
      <alignment horizontal="center" vertical="center"/>
    </xf>
    <xf numFmtId="169" fontId="2" fillId="0" borderId="2" xfId="546" applyNumberFormat="1" applyFont="1" applyFill="1" applyBorder="1" applyAlignment="1" applyProtection="1">
      <alignment horizontal="center" vertical="center"/>
    </xf>
    <xf numFmtId="169" fontId="2" fillId="0" borderId="11" xfId="546" applyNumberFormat="1" applyFont="1" applyFill="1" applyBorder="1" applyAlignment="1" applyProtection="1">
      <alignment horizontal="center" vertical="center"/>
    </xf>
    <xf numFmtId="169" fontId="2" fillId="0" borderId="7" xfId="546" applyNumberFormat="1" applyFont="1" applyFill="1" applyBorder="1" applyAlignment="1" applyProtection="1">
      <alignment horizontal="center" vertical="center"/>
    </xf>
    <xf numFmtId="169" fontId="2" fillId="0" borderId="0" xfId="546" applyNumberFormat="1" applyFont="1" applyFill="1" applyBorder="1" applyAlignment="1" applyProtection="1">
      <alignment horizontal="center" vertical="center"/>
    </xf>
    <xf numFmtId="169" fontId="2" fillId="0" borderId="13" xfId="546" applyNumberFormat="1" applyFont="1" applyFill="1" applyBorder="1" applyAlignment="1" applyProtection="1">
      <alignment horizontal="center" vertical="center"/>
    </xf>
    <xf numFmtId="169" fontId="2" fillId="0" borderId="9" xfId="546" applyNumberFormat="1" applyFont="1" applyFill="1" applyBorder="1" applyAlignment="1" applyProtection="1">
      <alignment horizontal="center" vertical="center"/>
    </xf>
    <xf numFmtId="169" fontId="2" fillId="0" borderId="5" xfId="546" applyNumberFormat="1" applyFont="1" applyFill="1" applyBorder="1" applyAlignment="1" applyProtection="1">
      <alignment horizontal="center" vertical="center"/>
    </xf>
    <xf numFmtId="169" fontId="2" fillId="0" borderId="10" xfId="546" applyNumberFormat="1" applyFont="1" applyFill="1" applyBorder="1" applyAlignment="1" applyProtection="1">
      <alignment horizontal="center" vertical="center"/>
    </xf>
    <xf numFmtId="0" fontId="2" fillId="0" borderId="7" xfId="546" applyFont="1" applyBorder="1" applyAlignment="1" applyProtection="1">
      <alignment horizontal="left" vertical="top" wrapText="1"/>
    </xf>
    <xf numFmtId="0" fontId="2" fillId="0" borderId="0" xfId="546" applyFont="1" applyBorder="1" applyAlignment="1" applyProtection="1">
      <alignment horizontal="left" vertical="top" wrapText="1"/>
    </xf>
    <xf numFmtId="0" fontId="2" fillId="0" borderId="13" xfId="546" applyFont="1" applyBorder="1" applyAlignment="1" applyProtection="1">
      <alignment horizontal="left" vertical="top" wrapText="1"/>
    </xf>
    <xf numFmtId="0" fontId="2" fillId="0" borderId="9" xfId="546" applyFont="1" applyBorder="1" applyAlignment="1" applyProtection="1">
      <alignment horizontal="left" vertical="top" wrapText="1"/>
    </xf>
    <xf numFmtId="0" fontId="2" fillId="0" borderId="5" xfId="546" applyFont="1" applyBorder="1" applyAlignment="1" applyProtection="1">
      <alignment horizontal="left" vertical="top" wrapText="1"/>
    </xf>
    <xf numFmtId="0" fontId="2" fillId="0" borderId="10" xfId="546" applyFont="1" applyBorder="1" applyAlignment="1" applyProtection="1">
      <alignment horizontal="left" vertical="top" wrapText="1"/>
    </xf>
    <xf numFmtId="0" fontId="9" fillId="0" borderId="7" xfId="546" applyFont="1" applyBorder="1" applyAlignment="1" applyProtection="1">
      <alignment horizontal="left" vertical="center" wrapText="1"/>
    </xf>
    <xf numFmtId="0" fontId="9" fillId="0" borderId="0" xfId="546" applyFont="1" applyBorder="1" applyAlignment="1" applyProtection="1">
      <alignment horizontal="left" vertical="center" wrapText="1"/>
    </xf>
    <xf numFmtId="0" fontId="9" fillId="0" borderId="13" xfId="546" applyFont="1" applyBorder="1" applyAlignment="1" applyProtection="1">
      <alignment horizontal="left" vertical="center" wrapText="1"/>
    </xf>
    <xf numFmtId="0" fontId="2" fillId="0" borderId="7" xfId="0" applyFont="1" applyBorder="1" applyAlignment="1">
      <alignment horizontal="left" wrapText="1"/>
    </xf>
    <xf numFmtId="0" fontId="2" fillId="0" borderId="13" xfId="0" applyFont="1" applyBorder="1" applyAlignment="1">
      <alignment horizontal="left" wrapText="1"/>
    </xf>
    <xf numFmtId="0" fontId="2" fillId="0" borderId="9" xfId="0" applyFont="1" applyBorder="1" applyAlignment="1">
      <alignment horizontal="left" wrapText="1"/>
    </xf>
    <xf numFmtId="0" fontId="2" fillId="0" borderId="5" xfId="0" applyFont="1" applyBorder="1" applyAlignment="1">
      <alignment horizontal="left" wrapText="1"/>
    </xf>
    <xf numFmtId="0" fontId="2" fillId="0" borderId="10" xfId="0" applyFont="1" applyBorder="1" applyAlignment="1">
      <alignment horizontal="left" wrapText="1"/>
    </xf>
    <xf numFmtId="169" fontId="2" fillId="4" borderId="3" xfId="546" applyNumberFormat="1" applyFont="1" applyFill="1" applyBorder="1" applyAlignment="1" applyProtection="1">
      <alignment horizontal="center"/>
    </xf>
    <xf numFmtId="169" fontId="2" fillId="4" borderId="4" xfId="546" applyNumberFormat="1" applyFont="1" applyFill="1" applyBorder="1" applyAlignment="1" applyProtection="1">
      <alignment horizontal="center"/>
    </xf>
    <xf numFmtId="169" fontId="2" fillId="4" borderId="8" xfId="546" applyNumberFormat="1" applyFont="1" applyFill="1" applyBorder="1" applyAlignment="1" applyProtection="1">
      <alignment horizontal="center"/>
    </xf>
    <xf numFmtId="0" fontId="2" fillId="2" borderId="3" xfId="546" applyFont="1" applyFill="1" applyBorder="1" applyAlignment="1" applyProtection="1">
      <alignment horizontal="center"/>
    </xf>
    <xf numFmtId="0" fontId="2" fillId="2" borderId="4" xfId="546" applyFont="1" applyFill="1" applyBorder="1" applyAlignment="1" applyProtection="1">
      <alignment horizontal="center"/>
    </xf>
    <xf numFmtId="0" fontId="2" fillId="2" borderId="8" xfId="546" applyFont="1" applyFill="1" applyBorder="1" applyAlignment="1" applyProtection="1">
      <alignment horizontal="center"/>
    </xf>
    <xf numFmtId="0" fontId="9" fillId="4" borderId="3" xfId="546" applyFont="1" applyFill="1" applyBorder="1" applyAlignment="1" applyProtection="1">
      <alignment horizontal="center"/>
    </xf>
    <xf numFmtId="0" fontId="9" fillId="4" borderId="4" xfId="546" applyFont="1" applyFill="1" applyBorder="1" applyAlignment="1" applyProtection="1">
      <alignment horizontal="center"/>
    </xf>
    <xf numFmtId="0" fontId="9" fillId="4" borderId="8" xfId="546" applyFont="1" applyFill="1" applyBorder="1" applyAlignment="1" applyProtection="1">
      <alignment horizontal="center"/>
    </xf>
    <xf numFmtId="0" fontId="10" fillId="7" borderId="3" xfId="546" applyFont="1" applyFill="1" applyBorder="1" applyAlignment="1" applyProtection="1">
      <alignment horizontal="center" vertical="top"/>
      <protection locked="0"/>
    </xf>
    <xf numFmtId="0" fontId="10" fillId="7" borderId="8" xfId="546" applyFont="1" applyFill="1" applyBorder="1" applyAlignment="1" applyProtection="1">
      <alignment horizontal="center" vertical="top"/>
      <protection locked="0"/>
    </xf>
    <xf numFmtId="0" fontId="2" fillId="0" borderId="7" xfId="546" applyFont="1" applyBorder="1" applyAlignment="1" applyProtection="1">
      <alignment horizontal="left" vertical="center" wrapText="1"/>
    </xf>
    <xf numFmtId="0" fontId="2" fillId="0" borderId="0" xfId="546" applyFont="1" applyBorder="1" applyAlignment="1" applyProtection="1">
      <alignment horizontal="left" vertical="center" wrapText="1"/>
    </xf>
    <xf numFmtId="0" fontId="2" fillId="0" borderId="13" xfId="546" applyFont="1" applyBorder="1" applyAlignment="1" applyProtection="1">
      <alignment horizontal="left" vertical="center" wrapText="1"/>
    </xf>
    <xf numFmtId="0" fontId="0" fillId="7" borderId="3" xfId="546" applyFont="1" applyFill="1" applyBorder="1" applyAlignment="1" applyProtection="1">
      <alignment horizontal="left" vertical="top" wrapText="1"/>
      <protection locked="0"/>
    </xf>
    <xf numFmtId="0" fontId="2" fillId="7" borderId="4" xfId="546" applyFont="1" applyFill="1" applyBorder="1" applyAlignment="1" applyProtection="1">
      <alignment horizontal="left" vertical="top" wrapText="1"/>
      <protection locked="0"/>
    </xf>
    <xf numFmtId="0" fontId="2" fillId="7" borderId="8" xfId="546" applyFont="1" applyFill="1" applyBorder="1" applyAlignment="1" applyProtection="1">
      <alignment horizontal="left" vertical="top" wrapText="1"/>
      <protection locked="0"/>
    </xf>
    <xf numFmtId="169" fontId="2" fillId="7" borderId="1" xfId="546" applyNumberFormat="1" applyFont="1" applyFill="1" applyBorder="1" applyAlignment="1" applyProtection="1">
      <alignment horizontal="center" vertical="center"/>
      <protection locked="0"/>
    </xf>
    <xf numFmtId="169" fontId="2" fillId="7" borderId="2" xfId="546" applyNumberFormat="1" applyFont="1" applyFill="1" applyBorder="1" applyAlignment="1" applyProtection="1">
      <alignment horizontal="center" vertical="center"/>
      <protection locked="0"/>
    </xf>
    <xf numFmtId="169" fontId="2" fillId="7" borderId="11" xfId="546" applyNumberFormat="1" applyFont="1" applyFill="1" applyBorder="1" applyAlignment="1" applyProtection="1">
      <alignment horizontal="center" vertical="center"/>
      <protection locked="0"/>
    </xf>
    <xf numFmtId="169" fontId="2" fillId="7" borderId="7" xfId="546" applyNumberFormat="1" applyFont="1" applyFill="1" applyBorder="1" applyAlignment="1" applyProtection="1">
      <alignment horizontal="center" vertical="center"/>
      <protection locked="0"/>
    </xf>
    <xf numFmtId="169" fontId="2" fillId="7" borderId="0" xfId="546" applyNumberFormat="1" applyFont="1" applyFill="1" applyBorder="1" applyAlignment="1" applyProtection="1">
      <alignment horizontal="center" vertical="center"/>
      <protection locked="0"/>
    </xf>
    <xf numFmtId="169" fontId="2" fillId="7" borderId="13" xfId="546" applyNumberFormat="1" applyFont="1" applyFill="1" applyBorder="1" applyAlignment="1" applyProtection="1">
      <alignment horizontal="center" vertical="center"/>
      <protection locked="0"/>
    </xf>
    <xf numFmtId="169" fontId="2" fillId="7" borderId="9" xfId="546" applyNumberFormat="1" applyFont="1" applyFill="1" applyBorder="1" applyAlignment="1" applyProtection="1">
      <alignment horizontal="center" vertical="center"/>
      <protection locked="0"/>
    </xf>
    <xf numFmtId="169" fontId="2" fillId="7" borderId="5" xfId="546" applyNumberFormat="1" applyFont="1" applyFill="1" applyBorder="1" applyAlignment="1" applyProtection="1">
      <alignment horizontal="center" vertical="center"/>
      <protection locked="0"/>
    </xf>
    <xf numFmtId="169" fontId="2" fillId="7" borderId="10" xfId="546" applyNumberFormat="1" applyFont="1" applyFill="1" applyBorder="1" applyAlignment="1" applyProtection="1">
      <alignment horizontal="center" vertical="center"/>
      <protection locked="0"/>
    </xf>
    <xf numFmtId="0" fontId="29" fillId="0" borderId="7" xfId="546" applyFont="1" applyBorder="1" applyAlignment="1" applyProtection="1">
      <alignment horizontal="center" vertical="center" wrapText="1"/>
    </xf>
    <xf numFmtId="0" fontId="29" fillId="0" borderId="0" xfId="546" applyFont="1" applyBorder="1" applyAlignment="1" applyProtection="1">
      <alignment horizontal="center" vertical="center" wrapText="1"/>
    </xf>
    <xf numFmtId="0" fontId="29" fillId="0" borderId="13" xfId="546" applyFont="1" applyBorder="1" applyAlignment="1" applyProtection="1">
      <alignment horizontal="center" vertical="center" wrapText="1"/>
    </xf>
    <xf numFmtId="0" fontId="29" fillId="0" borderId="9" xfId="546" applyFont="1" applyBorder="1" applyAlignment="1" applyProtection="1">
      <alignment horizontal="center" vertical="center" wrapText="1"/>
    </xf>
    <xf numFmtId="0" fontId="29" fillId="0" borderId="5" xfId="546" applyFont="1" applyBorder="1" applyAlignment="1" applyProtection="1">
      <alignment horizontal="center" vertical="center" wrapText="1"/>
    </xf>
    <xf numFmtId="0" fontId="29" fillId="0" borderId="10" xfId="546" applyFont="1" applyBorder="1" applyAlignment="1" applyProtection="1">
      <alignment horizontal="center" vertical="center" wrapText="1"/>
    </xf>
    <xf numFmtId="0" fontId="2" fillId="0" borderId="3" xfId="546" applyFont="1" applyFill="1" applyBorder="1" applyAlignment="1" applyProtection="1">
      <alignment horizontal="center"/>
    </xf>
    <xf numFmtId="0" fontId="2" fillId="0" borderId="4" xfId="546" applyFont="1" applyFill="1" applyBorder="1" applyAlignment="1" applyProtection="1">
      <alignment horizontal="center"/>
    </xf>
    <xf numFmtId="0" fontId="2" fillId="0" borderId="8" xfId="546" applyFont="1" applyFill="1" applyBorder="1" applyAlignment="1" applyProtection="1">
      <alignment horizontal="center"/>
    </xf>
    <xf numFmtId="169" fontId="2" fillId="0" borderId="12" xfId="546" applyNumberFormat="1" applyFont="1" applyFill="1" applyBorder="1" applyAlignment="1" applyProtection="1">
      <alignment horizontal="center"/>
    </xf>
    <xf numFmtId="1" fontId="2" fillId="0" borderId="3" xfId="546" applyNumberFormat="1" applyFont="1" applyFill="1" applyBorder="1" applyAlignment="1" applyProtection="1">
      <alignment horizontal="center"/>
    </xf>
    <xf numFmtId="1" fontId="2" fillId="0" borderId="4" xfId="546" applyNumberFormat="1" applyFont="1" applyFill="1" applyBorder="1" applyAlignment="1" applyProtection="1">
      <alignment horizontal="center"/>
    </xf>
    <xf numFmtId="1" fontId="2" fillId="0" borderId="8" xfId="546" applyNumberFormat="1" applyFont="1" applyFill="1" applyBorder="1" applyAlignment="1" applyProtection="1">
      <alignment horizontal="center"/>
    </xf>
    <xf numFmtId="0" fontId="9" fillId="0" borderId="4" xfId="546" applyNumberFormat="1" applyFont="1" applyBorder="1" applyAlignment="1" applyProtection="1">
      <alignment horizontal="right" vertical="top" wrapText="1"/>
    </xf>
    <xf numFmtId="0" fontId="9" fillId="0" borderId="8" xfId="546" applyNumberFormat="1" applyFont="1" applyBorder="1" applyAlignment="1" applyProtection="1">
      <alignment horizontal="right" vertical="top" wrapText="1"/>
    </xf>
    <xf numFmtId="169" fontId="9" fillId="0" borderId="3" xfId="546" applyNumberFormat="1" applyFont="1" applyFill="1" applyBorder="1" applyAlignment="1" applyProtection="1">
      <alignment horizontal="center" vertical="center"/>
    </xf>
    <xf numFmtId="169" fontId="9" fillId="0" borderId="4" xfId="546" applyNumberFormat="1" applyFont="1" applyFill="1" applyBorder="1" applyAlignment="1" applyProtection="1">
      <alignment horizontal="center" vertical="center"/>
    </xf>
    <xf numFmtId="169" fontId="9" fillId="0" borderId="8" xfId="546" applyNumberFormat="1" applyFont="1" applyFill="1" applyBorder="1" applyAlignment="1" applyProtection="1">
      <alignment horizontal="center" vertical="center"/>
    </xf>
    <xf numFmtId="0" fontId="10" fillId="7" borderId="9" xfId="546" applyFont="1" applyFill="1" applyBorder="1" applyAlignment="1" applyProtection="1">
      <alignment horizontal="center"/>
      <protection locked="0"/>
    </xf>
    <xf numFmtId="0" fontId="10" fillId="7" borderId="10" xfId="546" applyFont="1" applyFill="1" applyBorder="1" applyAlignment="1" applyProtection="1">
      <alignment horizontal="center"/>
      <protection locked="0"/>
    </xf>
    <xf numFmtId="0" fontId="9" fillId="0" borderId="1" xfId="546" applyFont="1" applyBorder="1" applyAlignment="1" applyProtection="1">
      <alignment horizontal="left" vertical="top" wrapText="1"/>
    </xf>
    <xf numFmtId="0" fontId="9" fillId="0" borderId="2" xfId="546" applyFont="1" applyBorder="1" applyAlignment="1" applyProtection="1">
      <alignment horizontal="left" vertical="top" wrapText="1"/>
    </xf>
    <xf numFmtId="0" fontId="9" fillId="0" borderId="11" xfId="546" applyFont="1" applyBorder="1" applyAlignment="1" applyProtection="1">
      <alignment horizontal="left" vertical="top" wrapText="1"/>
    </xf>
    <xf numFmtId="0" fontId="9" fillId="0" borderId="7" xfId="546" applyFont="1" applyBorder="1" applyAlignment="1" applyProtection="1">
      <alignment horizontal="left" vertical="top" wrapText="1"/>
    </xf>
    <xf numFmtId="0" fontId="9" fillId="0" borderId="0" xfId="546" applyFont="1" applyBorder="1" applyAlignment="1" applyProtection="1">
      <alignment horizontal="left" vertical="top" wrapText="1"/>
    </xf>
    <xf numFmtId="0" fontId="9" fillId="0" borderId="13" xfId="546" applyFont="1" applyBorder="1" applyAlignment="1" applyProtection="1">
      <alignment horizontal="left" vertical="top" wrapText="1"/>
    </xf>
    <xf numFmtId="0" fontId="127" fillId="0" borderId="7" xfId="546" applyFont="1" applyBorder="1" applyAlignment="1" applyProtection="1">
      <alignment horizontal="center" vertical="center" wrapText="1"/>
    </xf>
    <xf numFmtId="0" fontId="127" fillId="0" borderId="0" xfId="546" applyFont="1" applyBorder="1" applyAlignment="1" applyProtection="1">
      <alignment horizontal="center" vertical="center" wrapText="1"/>
    </xf>
    <xf numFmtId="0" fontId="127" fillId="0" borderId="13" xfId="546" applyFont="1" applyBorder="1" applyAlignment="1" applyProtection="1">
      <alignment horizontal="center" vertical="center" wrapText="1"/>
    </xf>
    <xf numFmtId="0" fontId="127" fillId="0" borderId="9" xfId="546" applyFont="1" applyBorder="1" applyAlignment="1" applyProtection="1">
      <alignment horizontal="center" vertical="center" wrapText="1"/>
    </xf>
    <xf numFmtId="0" fontId="127" fillId="0" borderId="5" xfId="546" applyFont="1" applyBorder="1" applyAlignment="1" applyProtection="1">
      <alignment horizontal="center" vertical="center" wrapText="1"/>
    </xf>
    <xf numFmtId="0" fontId="127" fillId="0" borderId="10" xfId="546" applyFont="1" applyBorder="1" applyAlignment="1" applyProtection="1">
      <alignment horizontal="center" vertical="center" wrapText="1"/>
    </xf>
    <xf numFmtId="0" fontId="10" fillId="7" borderId="3" xfId="546" applyFont="1" applyFill="1" applyBorder="1" applyAlignment="1" applyProtection="1">
      <alignment horizontal="left" vertical="top" wrapText="1"/>
      <protection locked="0"/>
    </xf>
    <xf numFmtId="0" fontId="10" fillId="7" borderId="4" xfId="546" applyFont="1" applyFill="1" applyBorder="1" applyAlignment="1" applyProtection="1">
      <alignment horizontal="left" vertical="top" wrapText="1"/>
      <protection locked="0"/>
    </xf>
    <xf numFmtId="0" fontId="10" fillId="7" borderId="8" xfId="546" applyFont="1" applyFill="1" applyBorder="1" applyAlignment="1" applyProtection="1">
      <alignment horizontal="left" vertical="top" wrapText="1"/>
      <protection locked="0"/>
    </xf>
    <xf numFmtId="0" fontId="9" fillId="0" borderId="3" xfId="546" applyFont="1" applyFill="1" applyBorder="1" applyAlignment="1" applyProtection="1">
      <alignment horizontal="right"/>
    </xf>
    <xf numFmtId="0" fontId="9" fillId="0" borderId="4" xfId="546" applyFont="1" applyFill="1" applyBorder="1" applyAlignment="1" applyProtection="1">
      <alignment horizontal="right"/>
    </xf>
    <xf numFmtId="0" fontId="9" fillId="0" borderId="8" xfId="546" applyFont="1" applyFill="1" applyBorder="1" applyAlignment="1" applyProtection="1">
      <alignment horizontal="right"/>
    </xf>
    <xf numFmtId="0" fontId="9" fillId="0" borderId="1" xfId="546" applyFont="1" applyFill="1" applyBorder="1" applyAlignment="1" applyProtection="1">
      <alignment horizontal="right"/>
    </xf>
    <xf numFmtId="0" fontId="9" fillId="0" borderId="2" xfId="546" applyFont="1" applyFill="1" applyBorder="1" applyAlignment="1" applyProtection="1">
      <alignment horizontal="right"/>
    </xf>
    <xf numFmtId="0" fontId="9" fillId="0" borderId="11" xfId="546" applyFont="1" applyFill="1" applyBorder="1" applyAlignment="1" applyProtection="1">
      <alignment horizontal="right"/>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169" fontId="0" fillId="0" borderId="3" xfId="0" applyNumberFormat="1" applyFill="1" applyBorder="1" applyAlignment="1" applyProtection="1">
      <alignment horizontal="right"/>
    </xf>
    <xf numFmtId="169" fontId="0" fillId="0" borderId="4" xfId="0" applyNumberFormat="1" applyFill="1" applyBorder="1" applyAlignment="1" applyProtection="1">
      <alignment horizontal="right"/>
    </xf>
    <xf numFmtId="169" fontId="0" fillId="0" borderId="8" xfId="0" applyNumberFormat="1" applyFill="1" applyBorder="1" applyAlignment="1" applyProtection="1">
      <alignment horizontal="right"/>
    </xf>
    <xf numFmtId="169" fontId="0" fillId="7" borderId="12" xfId="0" applyNumberFormat="1" applyFill="1" applyBorder="1" applyAlignment="1" applyProtection="1">
      <alignment horizontal="center"/>
      <protection locked="0"/>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0" fontId="0" fillId="7" borderId="3" xfId="0" applyFill="1" applyBorder="1" applyAlignment="1" applyProtection="1">
      <alignment horizontal="center"/>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0" fontId="21" fillId="0" borderId="3" xfId="546" applyFont="1" applyFill="1" applyBorder="1" applyAlignment="1" applyProtection="1">
      <alignment horizontal="center"/>
    </xf>
    <xf numFmtId="0" fontId="21" fillId="0" borderId="4" xfId="546" applyFont="1" applyFill="1" applyBorder="1" applyAlignment="1" applyProtection="1">
      <alignment horizontal="center"/>
    </xf>
    <xf numFmtId="0" fontId="21" fillId="0" borderId="8" xfId="546" applyFont="1" applyFill="1" applyBorder="1" applyAlignment="1" applyProtection="1">
      <alignment horizontal="center"/>
    </xf>
    <xf numFmtId="0" fontId="0" fillId="0" borderId="9" xfId="0" applyBorder="1" applyAlignment="1" applyProtection="1">
      <alignment horizontal="left"/>
    </xf>
    <xf numFmtId="0" fontId="0" fillId="0" borderId="5" xfId="0" applyBorder="1" applyAlignment="1" applyProtection="1">
      <alignment horizontal="left"/>
    </xf>
    <xf numFmtId="3" fontId="0" fillId="53" borderId="3" xfId="0" applyNumberFormat="1" applyFill="1" applyBorder="1" applyAlignment="1" applyProtection="1">
      <alignment horizontal="center"/>
      <protection locked="0"/>
    </xf>
    <xf numFmtId="3" fontId="0" fillId="53" borderId="4" xfId="0" applyNumberFormat="1" applyFill="1" applyBorder="1" applyAlignment="1" applyProtection="1">
      <alignment horizontal="center"/>
      <protection locked="0"/>
    </xf>
    <xf numFmtId="3" fontId="0" fillId="53" borderId="8" xfId="0" applyNumberFormat="1" applyFill="1" applyBorder="1" applyAlignment="1" applyProtection="1">
      <alignment horizontal="center"/>
      <protection locked="0"/>
    </xf>
    <xf numFmtId="169" fontId="2" fillId="7" borderId="3" xfId="0" applyNumberFormat="1" applyFont="1" applyFill="1" applyBorder="1" applyAlignment="1" applyProtection="1">
      <alignment horizontal="center"/>
      <protection locked="0"/>
    </xf>
    <xf numFmtId="169" fontId="2" fillId="7" borderId="4" xfId="0" applyNumberFormat="1" applyFont="1" applyFill="1" applyBorder="1" applyAlignment="1" applyProtection="1">
      <alignment horizontal="center"/>
      <protection locked="0"/>
    </xf>
    <xf numFmtId="169" fontId="2" fillId="7" borderId="8" xfId="0" applyNumberFormat="1" applyFont="1" applyFill="1" applyBorder="1" applyAlignment="1" applyProtection="1">
      <alignment horizontal="center"/>
      <protection locked="0"/>
    </xf>
    <xf numFmtId="169" fontId="2" fillId="0" borderId="3" xfId="0" applyNumberFormat="1" applyFont="1" applyFill="1" applyBorder="1" applyAlignment="1" applyProtection="1">
      <alignment horizontal="center"/>
    </xf>
    <xf numFmtId="169" fontId="2" fillId="0" borderId="4" xfId="0" applyNumberFormat="1" applyFont="1" applyFill="1" applyBorder="1" applyAlignment="1" applyProtection="1">
      <alignment horizontal="center"/>
    </xf>
    <xf numFmtId="169" fontId="2" fillId="0" borderId="8" xfId="0" applyNumberFormat="1" applyFont="1" applyFill="1" applyBorder="1" applyAlignment="1" applyProtection="1">
      <alignment horizontal="center"/>
    </xf>
    <xf numFmtId="169" fontId="2" fillId="7" borderId="8" xfId="0" applyNumberFormat="1" applyFont="1" applyFill="1" applyBorder="1" applyAlignment="1" applyProtection="1">
      <alignment horizontal="right"/>
      <protection locked="0"/>
    </xf>
    <xf numFmtId="169" fontId="0" fillId="7" borderId="12" xfId="0" applyNumberFormat="1" applyFill="1" applyBorder="1" applyAlignment="1" applyProtection="1">
      <alignment horizontal="right"/>
      <protection locked="0"/>
    </xf>
    <xf numFmtId="0" fontId="2" fillId="7" borderId="3" xfId="0" applyFont="1" applyFill="1" applyBorder="1" applyAlignment="1" applyProtection="1">
      <alignment horizontal="center"/>
      <protection locked="0"/>
    </xf>
    <xf numFmtId="0" fontId="2" fillId="7" borderId="4" xfId="0" applyFont="1" applyFill="1" applyBorder="1" applyAlignment="1" applyProtection="1">
      <alignment horizontal="center"/>
      <protection locked="0"/>
    </xf>
    <xf numFmtId="0" fontId="2" fillId="7" borderId="8" xfId="0" applyFont="1" applyFill="1" applyBorder="1" applyAlignment="1" applyProtection="1">
      <alignment horizontal="center"/>
      <protection locked="0"/>
    </xf>
    <xf numFmtId="1" fontId="2" fillId="7" borderId="12" xfId="0" applyNumberFormat="1" applyFont="1" applyFill="1" applyBorder="1" applyAlignment="1" applyProtection="1">
      <alignment horizontal="center"/>
      <protection locked="0"/>
    </xf>
    <xf numFmtId="165" fontId="2" fillId="0" borderId="1" xfId="0" applyNumberFormat="1" applyFont="1" applyBorder="1" applyAlignment="1" applyProtection="1">
      <alignment horizontal="right"/>
    </xf>
    <xf numFmtId="165" fontId="2" fillId="0" borderId="2" xfId="0" applyNumberFormat="1" applyFont="1" applyBorder="1" applyAlignment="1" applyProtection="1">
      <alignment horizontal="right"/>
    </xf>
    <xf numFmtId="165" fontId="2" fillId="0" borderId="11" xfId="0" applyNumberFormat="1" applyFont="1" applyBorder="1" applyAlignment="1" applyProtection="1">
      <alignment horizontal="right"/>
    </xf>
    <xf numFmtId="9" fontId="2" fillId="7" borderId="3" xfId="0" applyNumberFormat="1" applyFont="1" applyFill="1" applyBorder="1" applyAlignment="1" applyProtection="1">
      <alignment horizontal="center"/>
      <protection locked="0"/>
    </xf>
    <xf numFmtId="9" fontId="2" fillId="7" borderId="4" xfId="0" applyNumberFormat="1" applyFont="1" applyFill="1" applyBorder="1" applyAlignment="1" applyProtection="1">
      <alignment horizontal="center"/>
      <protection locked="0"/>
    </xf>
    <xf numFmtId="9" fontId="2" fillId="7" borderId="8" xfId="0" applyNumberFormat="1" applyFont="1" applyFill="1" applyBorder="1" applyAlignment="1" applyProtection="1">
      <alignment horizontal="center"/>
      <protection locked="0"/>
    </xf>
    <xf numFmtId="0" fontId="11" fillId="7" borderId="4" xfId="0" applyFont="1" applyFill="1" applyBorder="1" applyAlignment="1" applyProtection="1">
      <alignment horizontal="left"/>
      <protection locked="0"/>
    </xf>
    <xf numFmtId="0" fontId="0" fillId="7" borderId="5" xfId="0" applyFill="1" applyBorder="1" applyAlignment="1" applyProtection="1">
      <alignment horizontal="center"/>
      <protection locked="0"/>
    </xf>
    <xf numFmtId="0" fontId="2" fillId="7" borderId="5" xfId="0" applyFont="1" applyFill="1" applyBorder="1" applyAlignment="1" applyProtection="1">
      <alignment horizontal="left"/>
      <protection locked="0"/>
    </xf>
    <xf numFmtId="0" fontId="0" fillId="7" borderId="5" xfId="0" applyFill="1" applyBorder="1" applyAlignment="1" applyProtection="1">
      <alignment horizontal="left"/>
      <protection locked="0"/>
    </xf>
    <xf numFmtId="167" fontId="2" fillId="7" borderId="4" xfId="0" applyNumberFormat="1" applyFont="1" applyFill="1" applyBorder="1" applyAlignment="1" applyProtection="1">
      <alignment horizontal="left"/>
      <protection locked="0"/>
    </xf>
    <xf numFmtId="167" fontId="11" fillId="7" borderId="4" xfId="0" applyNumberFormat="1" applyFont="1" applyFill="1" applyBorder="1" applyAlignment="1" applyProtection="1">
      <alignment horizontal="left"/>
      <protection locked="0"/>
    </xf>
    <xf numFmtId="0" fontId="0" fillId="0" borderId="5" xfId="0" applyFill="1" applyBorder="1" applyAlignment="1" applyProtection="1">
      <alignment horizontal="left"/>
    </xf>
    <xf numFmtId="0" fontId="8" fillId="5" borderId="0" xfId="0" applyFont="1" applyFill="1" applyBorder="1" applyAlignment="1" applyProtection="1">
      <alignment horizontal="center" vertical="center"/>
    </xf>
    <xf numFmtId="1" fontId="2" fillId="7" borderId="3" xfId="0" applyNumberFormat="1" applyFont="1" applyFill="1" applyBorder="1" applyAlignment="1" applyProtection="1">
      <alignment horizontal="center"/>
      <protection locked="0"/>
    </xf>
    <xf numFmtId="1" fontId="2" fillId="7" borderId="4" xfId="0" applyNumberFormat="1" applyFont="1" applyFill="1" applyBorder="1" applyAlignment="1" applyProtection="1">
      <alignment horizontal="center"/>
      <protection locked="0"/>
    </xf>
    <xf numFmtId="1" fontId="2" fillId="7" borderId="8" xfId="0" applyNumberFormat="1" applyFont="1" applyFill="1" applyBorder="1" applyAlignment="1" applyProtection="1">
      <alignment horizontal="center"/>
      <protection locked="0"/>
    </xf>
    <xf numFmtId="0" fontId="0" fillId="7" borderId="4" xfId="0" applyFill="1" applyBorder="1" applyAlignment="1" applyProtection="1">
      <alignment horizontal="left"/>
      <protection locked="0"/>
    </xf>
    <xf numFmtId="0" fontId="2" fillId="7" borderId="4" xfId="0" applyFont="1" applyFill="1" applyBorder="1" applyAlignment="1" applyProtection="1">
      <alignment horizontal="left"/>
      <protection locked="0"/>
    </xf>
    <xf numFmtId="0" fontId="2" fillId="7" borderId="8" xfId="0" applyFont="1" applyFill="1" applyBorder="1" applyAlignment="1" applyProtection="1">
      <alignment horizontal="left"/>
      <protection locked="0"/>
    </xf>
    <xf numFmtId="1" fontId="14" fillId="7" borderId="3" xfId="0" applyNumberFormat="1" applyFont="1" applyFill="1" applyBorder="1" applyAlignment="1" applyProtection="1">
      <alignment horizontal="center"/>
      <protection locked="0"/>
    </xf>
    <xf numFmtId="1" fontId="14" fillId="7" borderId="4" xfId="0" applyNumberFormat="1" applyFont="1" applyFill="1" applyBorder="1" applyAlignment="1" applyProtection="1">
      <alignment horizontal="center"/>
      <protection locked="0"/>
    </xf>
    <xf numFmtId="1" fontId="14" fillId="7" borderId="8" xfId="0" applyNumberFormat="1" applyFont="1" applyFill="1" applyBorder="1" applyAlignment="1" applyProtection="1">
      <alignment horizontal="center"/>
      <protection locked="0"/>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176" fontId="25" fillId="7" borderId="3" xfId="0" applyNumberFormat="1" applyFont="1" applyFill="1" applyBorder="1" applyAlignment="1" applyProtection="1">
      <alignment horizontal="center"/>
      <protection locked="0"/>
    </xf>
    <xf numFmtId="176" fontId="25" fillId="7" borderId="4" xfId="0" applyNumberFormat="1" applyFont="1" applyFill="1" applyBorder="1" applyAlignment="1" applyProtection="1">
      <alignment horizontal="center"/>
      <protection locked="0"/>
    </xf>
    <xf numFmtId="176" fontId="25" fillId="7" borderId="8" xfId="0" applyNumberFormat="1" applyFont="1" applyFill="1" applyBorder="1" applyAlignment="1" applyProtection="1">
      <alignment horizontal="center"/>
      <protection locked="0"/>
    </xf>
    <xf numFmtId="0" fontId="10" fillId="7" borderId="3" xfId="0" applyFont="1" applyFill="1" applyBorder="1" applyAlignment="1" applyProtection="1">
      <alignment horizontal="left"/>
      <protection locked="0"/>
    </xf>
    <xf numFmtId="0" fontId="10" fillId="7" borderId="4" xfId="0" applyFont="1" applyFill="1" applyBorder="1" applyAlignment="1" applyProtection="1">
      <alignment horizontal="left"/>
      <protection locked="0"/>
    </xf>
    <xf numFmtId="0" fontId="10" fillId="7" borderId="8" xfId="0" applyFont="1" applyFill="1" applyBorder="1" applyAlignment="1" applyProtection="1">
      <alignment horizontal="left"/>
      <protection locked="0"/>
    </xf>
    <xf numFmtId="1" fontId="0" fillId="53" borderId="3" xfId="0" applyNumberFormat="1" applyFill="1" applyBorder="1" applyAlignment="1" applyProtection="1">
      <alignment horizontal="center"/>
      <protection locked="0"/>
    </xf>
    <xf numFmtId="1" fontId="0" fillId="53" borderId="4" xfId="0" applyNumberFormat="1" applyFill="1" applyBorder="1" applyAlignment="1" applyProtection="1">
      <alignment horizontal="center"/>
      <protection locked="0"/>
    </xf>
    <xf numFmtId="1" fontId="0" fillId="53" borderId="8" xfId="0" applyNumberFormat="1" applyFill="1" applyBorder="1" applyAlignment="1" applyProtection="1">
      <alignment horizontal="center"/>
      <protection locked="0"/>
    </xf>
    <xf numFmtId="169" fontId="0" fillId="53" borderId="3" xfId="0" applyNumberFormat="1" applyFill="1" applyBorder="1" applyAlignment="1" applyProtection="1">
      <alignment horizontal="center"/>
      <protection locked="0"/>
    </xf>
    <xf numFmtId="169" fontId="0" fillId="53" borderId="4" xfId="0" applyNumberFormat="1" applyFill="1" applyBorder="1" applyAlignment="1" applyProtection="1">
      <alignment horizontal="center"/>
      <protection locked="0"/>
    </xf>
    <xf numFmtId="169" fontId="0" fillId="53" borderId="8" xfId="0" applyNumberFormat="1" applyFill="1" applyBorder="1" applyAlignment="1" applyProtection="1">
      <alignment horizontal="center"/>
      <protection locked="0"/>
    </xf>
    <xf numFmtId="0" fontId="2" fillId="0" borderId="1" xfId="0" applyFont="1" applyBorder="1" applyAlignment="1" applyProtection="1">
      <alignment horizontal="center" wrapText="1"/>
    </xf>
    <xf numFmtId="0" fontId="0" fillId="0" borderId="2" xfId="0" applyBorder="1" applyAlignment="1" applyProtection="1">
      <alignment horizontal="center" wrapText="1"/>
    </xf>
    <xf numFmtId="0" fontId="0" fillId="0" borderId="11" xfId="0" applyBorder="1" applyAlignment="1" applyProtection="1">
      <alignment horizontal="center" wrapText="1"/>
    </xf>
    <xf numFmtId="0" fontId="0" fillId="0" borderId="7" xfId="0" applyBorder="1" applyAlignment="1" applyProtection="1">
      <alignment horizontal="center" wrapText="1"/>
    </xf>
    <xf numFmtId="0" fontId="0" fillId="0" borderId="0" xfId="0" applyBorder="1" applyAlignment="1" applyProtection="1">
      <alignment horizontal="center" wrapText="1"/>
    </xf>
    <xf numFmtId="0" fontId="0" fillId="0" borderId="13" xfId="0" applyBorder="1" applyAlignment="1" applyProtection="1">
      <alignment horizontal="center" wrapText="1"/>
    </xf>
    <xf numFmtId="0" fontId="2" fillId="0" borderId="1" xfId="0" applyFont="1" applyFill="1" applyBorder="1" applyAlignment="1" applyProtection="1">
      <alignment horizontal="center" vertical="top" wrapText="1"/>
    </xf>
    <xf numFmtId="0" fontId="2" fillId="0" borderId="2" xfId="0" applyFont="1" applyFill="1" applyBorder="1" applyAlignment="1" applyProtection="1">
      <alignment horizontal="center" vertical="top" wrapText="1"/>
    </xf>
    <xf numFmtId="0" fontId="2" fillId="0" borderId="11" xfId="0" applyFont="1" applyFill="1" applyBorder="1" applyAlignment="1" applyProtection="1">
      <alignment horizontal="center" vertical="top" wrapText="1"/>
    </xf>
    <xf numFmtId="0" fontId="2" fillId="0" borderId="7" xfId="0" applyFont="1" applyFill="1" applyBorder="1" applyAlignment="1" applyProtection="1">
      <alignment horizontal="center" vertical="top" wrapText="1"/>
    </xf>
    <xf numFmtId="0" fontId="2" fillId="0" borderId="0" xfId="0" applyFont="1" applyFill="1" applyBorder="1" applyAlignment="1" applyProtection="1">
      <alignment horizontal="center" vertical="top" wrapText="1"/>
    </xf>
    <xf numFmtId="0" fontId="2" fillId="0" borderId="13" xfId="0" applyFont="1" applyFill="1" applyBorder="1" applyAlignment="1" applyProtection="1">
      <alignment horizontal="center" vertical="top" wrapText="1"/>
    </xf>
    <xf numFmtId="0" fontId="2" fillId="0" borderId="9" xfId="0" applyFont="1" applyFill="1" applyBorder="1" applyAlignment="1" applyProtection="1">
      <alignment horizontal="center" vertical="top" wrapText="1"/>
    </xf>
    <xf numFmtId="0" fontId="2" fillId="0" borderId="5" xfId="0" applyFont="1" applyFill="1" applyBorder="1" applyAlignment="1" applyProtection="1">
      <alignment horizontal="center" vertical="top" wrapText="1"/>
    </xf>
    <xf numFmtId="0" fontId="2" fillId="0" borderId="10" xfId="0" applyFont="1" applyFill="1" applyBorder="1" applyAlignment="1" applyProtection="1">
      <alignment horizontal="center" vertical="top" wrapText="1"/>
    </xf>
    <xf numFmtId="0" fontId="9" fillId="0" borderId="12" xfId="0" applyFont="1" applyBorder="1" applyAlignment="1" applyProtection="1">
      <alignment horizontal="center" wrapText="1"/>
    </xf>
    <xf numFmtId="0" fontId="11" fillId="0" borderId="3" xfId="0" applyFont="1" applyBorder="1" applyAlignment="1" applyProtection="1">
      <alignment horizontal="center"/>
    </xf>
    <xf numFmtId="0" fontId="11" fillId="0" borderId="4" xfId="0" applyFont="1" applyBorder="1" applyAlignment="1" applyProtection="1">
      <alignment horizontal="center"/>
    </xf>
    <xf numFmtId="0" fontId="11" fillId="0" borderId="8" xfId="0" applyFont="1" applyBorder="1" applyAlignment="1" applyProtection="1">
      <alignment horizontal="center"/>
    </xf>
    <xf numFmtId="0" fontId="31" fillId="0" borderId="3" xfId="0" applyFont="1" applyBorder="1" applyAlignment="1" applyProtection="1">
      <alignment horizontal="center"/>
    </xf>
    <xf numFmtId="0" fontId="31" fillId="0" borderId="4" xfId="0" applyFont="1" applyBorder="1" applyAlignment="1" applyProtection="1">
      <alignment horizontal="center"/>
    </xf>
    <xf numFmtId="0" fontId="31" fillId="0" borderId="8" xfId="0" applyFont="1" applyBorder="1" applyAlignment="1" applyProtection="1">
      <alignment horizontal="center"/>
    </xf>
    <xf numFmtId="0" fontId="2" fillId="0" borderId="3" xfId="0" applyFont="1" applyBorder="1" applyAlignment="1" applyProtection="1">
      <alignment horizontal="center"/>
    </xf>
    <xf numFmtId="0" fontId="2" fillId="0" borderId="4" xfId="0" applyFont="1" applyBorder="1" applyAlignment="1" applyProtection="1">
      <alignment horizontal="center"/>
    </xf>
    <xf numFmtId="0" fontId="2" fillId="0" borderId="8" xfId="0" applyFont="1" applyBorder="1" applyAlignment="1" applyProtection="1">
      <alignment horizontal="center"/>
    </xf>
    <xf numFmtId="0" fontId="11" fillId="0" borderId="10" xfId="0" applyFont="1" applyBorder="1" applyAlignment="1" applyProtection="1">
      <alignment horizontal="center"/>
    </xf>
    <xf numFmtId="0" fontId="11" fillId="0" borderId="9" xfId="0" applyFont="1" applyBorder="1" applyAlignment="1" applyProtection="1">
      <alignment horizontal="center"/>
    </xf>
    <xf numFmtId="0" fontId="11" fillId="0" borderId="5" xfId="0" applyFont="1" applyBorder="1" applyAlignment="1" applyProtection="1">
      <alignment horizontal="center"/>
    </xf>
    <xf numFmtId="0" fontId="11" fillId="2" borderId="3" xfId="0" applyFont="1" applyFill="1" applyBorder="1" applyAlignment="1" applyProtection="1">
      <alignment horizontal="center"/>
    </xf>
    <xf numFmtId="0" fontId="11" fillId="2" borderId="4" xfId="0" applyFont="1" applyFill="1" applyBorder="1" applyAlignment="1" applyProtection="1">
      <alignment horizontal="center"/>
    </xf>
    <xf numFmtId="0" fontId="11" fillId="2" borderId="8" xfId="0" applyFont="1" applyFill="1" applyBorder="1" applyAlignment="1" applyProtection="1">
      <alignment horizontal="center"/>
    </xf>
    <xf numFmtId="0" fontId="9" fillId="0" borderId="3" xfId="0" applyFont="1" applyBorder="1" applyAlignment="1" applyProtection="1">
      <alignment horizontal="right"/>
    </xf>
    <xf numFmtId="0" fontId="9" fillId="0" borderId="4" xfId="0" applyFont="1" applyBorder="1" applyAlignment="1" applyProtection="1">
      <alignment horizontal="right"/>
    </xf>
    <xf numFmtId="0" fontId="9" fillId="0" borderId="5" xfId="0" applyFont="1" applyBorder="1" applyAlignment="1" applyProtection="1">
      <alignment horizontal="right"/>
    </xf>
    <xf numFmtId="0" fontId="9" fillId="0" borderId="8" xfId="0" applyFont="1" applyBorder="1" applyAlignment="1" applyProtection="1">
      <alignment horizontal="right"/>
    </xf>
    <xf numFmtId="176" fontId="2" fillId="53" borderId="3" xfId="0" applyNumberFormat="1" applyFont="1" applyFill="1" applyBorder="1" applyAlignment="1" applyProtection="1">
      <alignment horizontal="center"/>
      <protection locked="0"/>
    </xf>
    <xf numFmtId="176" fontId="2" fillId="53" borderId="4" xfId="0" applyNumberFormat="1" applyFont="1" applyFill="1" applyBorder="1" applyAlignment="1" applyProtection="1">
      <alignment horizontal="center"/>
      <protection locked="0"/>
    </xf>
    <xf numFmtId="176" fontId="2" fillId="53" borderId="8" xfId="0" applyNumberFormat="1" applyFont="1" applyFill="1" applyBorder="1" applyAlignment="1" applyProtection="1">
      <alignment horizontal="center"/>
      <protection locked="0"/>
    </xf>
    <xf numFmtId="176" fontId="0" fillId="7" borderId="3" xfId="0" applyNumberForma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76" fontId="0" fillId="7" borderId="8" xfId="0" applyNumberFormat="1" applyFill="1" applyBorder="1" applyAlignment="1" applyProtection="1">
      <alignment horizontal="center"/>
      <protection locked="0"/>
    </xf>
    <xf numFmtId="166" fontId="10" fillId="53" borderId="3" xfId="0" applyNumberFormat="1" applyFont="1" applyFill="1" applyBorder="1" applyAlignment="1" applyProtection="1">
      <alignment horizontal="center"/>
      <protection locked="0"/>
    </xf>
    <xf numFmtId="166" fontId="10" fillId="53" borderId="4" xfId="0" applyNumberFormat="1" applyFont="1" applyFill="1" applyBorder="1" applyAlignment="1" applyProtection="1">
      <alignment horizontal="center"/>
      <protection locked="0"/>
    </xf>
    <xf numFmtId="166" fontId="10" fillId="53" borderId="8" xfId="0" applyNumberFormat="1" applyFont="1" applyFill="1" applyBorder="1" applyAlignment="1" applyProtection="1">
      <alignment horizontal="center"/>
      <protection locked="0"/>
    </xf>
    <xf numFmtId="169" fontId="2" fillId="53" borderId="3" xfId="0" applyNumberFormat="1" applyFont="1" applyFill="1" applyBorder="1" applyAlignment="1" applyProtection="1">
      <alignment horizontal="center"/>
      <protection locked="0"/>
    </xf>
    <xf numFmtId="169" fontId="2" fillId="53" borderId="4" xfId="0" applyNumberFormat="1" applyFont="1" applyFill="1" applyBorder="1" applyAlignment="1" applyProtection="1">
      <alignment horizontal="center"/>
      <protection locked="0"/>
    </xf>
    <xf numFmtId="169" fontId="2" fillId="53" borderId="8" xfId="0" applyNumberFormat="1" applyFont="1" applyFill="1" applyBorder="1" applyAlignment="1" applyProtection="1">
      <alignment horizontal="center"/>
      <protection locked="0"/>
    </xf>
    <xf numFmtId="169" fontId="0" fillId="53" borderId="3" xfId="0" applyNumberFormat="1" applyFont="1" applyFill="1" applyBorder="1" applyAlignment="1" applyProtection="1">
      <alignment horizontal="center"/>
      <protection locked="0"/>
    </xf>
    <xf numFmtId="0" fontId="11" fillId="7" borderId="9" xfId="0" applyFont="1" applyFill="1" applyBorder="1" applyAlignment="1" applyProtection="1">
      <alignment horizontal="center"/>
      <protection locked="0"/>
    </xf>
    <xf numFmtId="0" fontId="11" fillId="7" borderId="5" xfId="0" applyFont="1" applyFill="1" applyBorder="1" applyAlignment="1" applyProtection="1">
      <alignment horizontal="center"/>
      <protection locked="0"/>
    </xf>
    <xf numFmtId="0" fontId="9" fillId="0" borderId="1" xfId="0" applyFont="1" applyBorder="1" applyAlignment="1" applyProtection="1">
      <alignment horizontal="center" vertical="center" wrapText="1"/>
    </xf>
    <xf numFmtId="0" fontId="9" fillId="0" borderId="2" xfId="0" applyFont="1" applyBorder="1" applyAlignment="1" applyProtection="1">
      <alignment horizontal="center" vertical="center" wrapText="1"/>
    </xf>
    <xf numFmtId="0" fontId="9" fillId="0" borderId="11" xfId="0" applyFont="1" applyBorder="1" applyAlignment="1" applyProtection="1">
      <alignment horizontal="center" vertical="center" wrapText="1"/>
    </xf>
    <xf numFmtId="0" fontId="9" fillId="0" borderId="7" xfId="0" applyFont="1" applyBorder="1" applyAlignment="1" applyProtection="1">
      <alignment horizontal="center" vertical="center" wrapText="1"/>
    </xf>
    <xf numFmtId="0" fontId="9" fillId="0" borderId="0" xfId="0" applyFont="1" applyBorder="1" applyAlignment="1" applyProtection="1">
      <alignment horizontal="center" vertical="center" wrapText="1"/>
    </xf>
    <xf numFmtId="0" fontId="9" fillId="0" borderId="13" xfId="0" applyFont="1" applyBorder="1" applyAlignment="1" applyProtection="1">
      <alignment horizontal="center" vertical="center" wrapText="1"/>
    </xf>
    <xf numFmtId="0" fontId="9" fillId="0" borderId="9" xfId="0" applyFont="1" applyBorder="1" applyAlignment="1" applyProtection="1">
      <alignment horizontal="center" vertical="center" wrapText="1"/>
    </xf>
    <xf numFmtId="0" fontId="9" fillId="0" borderId="5" xfId="0" applyFont="1" applyBorder="1" applyAlignment="1" applyProtection="1">
      <alignment horizontal="center" vertical="center" wrapText="1"/>
    </xf>
    <xf numFmtId="0" fontId="9" fillId="0" borderId="10" xfId="0" applyFont="1" applyBorder="1" applyAlignment="1" applyProtection="1">
      <alignment horizontal="center" vertical="center" wrapText="1"/>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9" fillId="0" borderId="3" xfId="0" applyFont="1" applyBorder="1" applyAlignment="1" applyProtection="1">
      <alignment horizontal="center" wrapText="1"/>
    </xf>
    <xf numFmtId="0" fontId="9" fillId="0" borderId="4" xfId="0" applyFont="1" applyBorder="1" applyAlignment="1" applyProtection="1">
      <alignment horizontal="center" wrapText="1"/>
    </xf>
    <xf numFmtId="0" fontId="9" fillId="0" borderId="8" xfId="0" applyFont="1" applyBorder="1" applyAlignment="1" applyProtection="1">
      <alignment horizontal="center" wrapText="1"/>
    </xf>
    <xf numFmtId="1" fontId="11" fillId="7" borderId="5" xfId="273" applyNumberFormat="1" applyFill="1" applyBorder="1" applyAlignment="1" applyProtection="1">
      <alignment horizontal="center"/>
      <protection locked="0"/>
    </xf>
    <xf numFmtId="0" fontId="0" fillId="53" borderId="5" xfId="0" applyFill="1" applyBorder="1" applyAlignment="1" applyProtection="1">
      <alignment horizontal="left"/>
      <protection locked="0"/>
    </xf>
    <xf numFmtId="0" fontId="2" fillId="0" borderId="3" xfId="0" applyFont="1" applyBorder="1" applyAlignment="1" applyProtection="1">
      <alignment horizontal="left"/>
    </xf>
    <xf numFmtId="0" fontId="11" fillId="0" borderId="4" xfId="0" applyFont="1" applyBorder="1" applyAlignment="1" applyProtection="1">
      <alignment horizontal="left"/>
    </xf>
    <xf numFmtId="0" fontId="11" fillId="0" borderId="8" xfId="0" applyFont="1" applyBorder="1" applyAlignment="1" applyProtection="1">
      <alignment horizontal="left"/>
    </xf>
    <xf numFmtId="0" fontId="2" fillId="7" borderId="3" xfId="0" applyNumberFormat="1" applyFont="1" applyFill="1" applyBorder="1" applyAlignment="1" applyProtection="1">
      <alignment horizontal="right" vertical="top"/>
      <protection locked="0"/>
    </xf>
    <xf numFmtId="0" fontId="2" fillId="7" borderId="4" xfId="0" applyNumberFormat="1" applyFont="1" applyFill="1" applyBorder="1" applyAlignment="1" applyProtection="1">
      <alignment horizontal="right" vertical="top"/>
      <protection locked="0"/>
    </xf>
    <xf numFmtId="0" fontId="2" fillId="7" borderId="8" xfId="0" applyNumberFormat="1" applyFont="1" applyFill="1" applyBorder="1" applyAlignment="1" applyProtection="1">
      <alignment horizontal="right" vertical="top"/>
      <protection locked="0"/>
    </xf>
    <xf numFmtId="166" fontId="0" fillId="0" borderId="5" xfId="0" applyNumberFormat="1" applyFill="1" applyBorder="1" applyAlignment="1" applyProtection="1">
      <alignment horizontal="center"/>
    </xf>
    <xf numFmtId="1" fontId="0" fillId="7" borderId="5" xfId="0" applyNumberFormat="1" applyFill="1" applyBorder="1" applyAlignment="1" applyProtection="1">
      <alignment horizontal="center"/>
      <protection locked="0"/>
    </xf>
    <xf numFmtId="2" fontId="0" fillId="0" borderId="5" xfId="0" applyNumberFormat="1" applyFill="1" applyBorder="1" applyAlignment="1" applyProtection="1">
      <alignment horizontal="center"/>
    </xf>
    <xf numFmtId="0" fontId="0" fillId="0" borderId="0" xfId="0" applyFill="1" applyBorder="1" applyAlignment="1" applyProtection="1">
      <alignment horizontal="center"/>
    </xf>
    <xf numFmtId="0" fontId="0" fillId="0" borderId="13" xfId="0" applyFill="1" applyBorder="1" applyAlignment="1" applyProtection="1">
      <alignment horizontal="center"/>
    </xf>
    <xf numFmtId="165" fontId="2" fillId="7" borderId="3" xfId="0" applyNumberFormat="1" applyFont="1" applyFill="1" applyBorder="1" applyAlignment="1" applyProtection="1">
      <alignment horizontal="center"/>
      <protection locked="0"/>
    </xf>
    <xf numFmtId="165" fontId="2" fillId="7" borderId="4" xfId="0" applyNumberFormat="1" applyFont="1" applyFill="1" applyBorder="1" applyAlignment="1" applyProtection="1">
      <alignment horizontal="center"/>
      <protection locked="0"/>
    </xf>
    <xf numFmtId="165" fontId="2" fillId="7" borderId="8" xfId="0" applyNumberFormat="1" applyFont="1" applyFill="1" applyBorder="1" applyAlignment="1" applyProtection="1">
      <alignment horizontal="center"/>
      <protection locked="0"/>
    </xf>
    <xf numFmtId="14" fontId="2" fillId="7" borderId="4" xfId="0" applyNumberFormat="1" applyFont="1" applyFill="1" applyBorder="1" applyAlignment="1" applyProtection="1">
      <alignment horizontal="right"/>
      <protection locked="0"/>
    </xf>
    <xf numFmtId="167" fontId="2" fillId="7" borderId="5" xfId="0" applyNumberFormat="1" applyFont="1" applyFill="1" applyBorder="1" applyAlignment="1" applyProtection="1">
      <alignment horizontal="left"/>
      <protection locked="0"/>
    </xf>
    <xf numFmtId="0" fontId="2" fillId="7" borderId="4" xfId="0" applyFont="1" applyFill="1" applyBorder="1" applyAlignment="1" applyProtection="1">
      <alignment horizontal="right"/>
      <protection locked="0"/>
    </xf>
    <xf numFmtId="169" fontId="2" fillId="7" borderId="5" xfId="0" applyNumberFormat="1" applyFont="1" applyFill="1" applyBorder="1" applyAlignment="1" applyProtection="1">
      <alignment horizontal="right"/>
      <protection locked="0"/>
    </xf>
    <xf numFmtId="10" fontId="2" fillId="7" borderId="4" xfId="0" applyNumberFormat="1" applyFont="1" applyFill="1" applyBorder="1" applyAlignment="1" applyProtection="1">
      <alignment horizontal="right"/>
      <protection locked="0"/>
    </xf>
    <xf numFmtId="14" fontId="2" fillId="7" borderId="12" xfId="0" applyNumberFormat="1" applyFont="1" applyFill="1" applyBorder="1" applyAlignment="1" applyProtection="1">
      <alignment horizontal="center"/>
      <protection locked="0"/>
    </xf>
    <xf numFmtId="14" fontId="0" fillId="7" borderId="12" xfId="0" applyNumberFormat="1" applyFill="1" applyBorder="1" applyAlignment="1" applyProtection="1">
      <alignment horizontal="center"/>
      <protection locked="0"/>
    </xf>
    <xf numFmtId="0" fontId="2" fillId="7" borderId="3" xfId="0" applyFont="1" applyFill="1" applyBorder="1" applyAlignment="1" applyProtection="1">
      <alignment horizontal="left"/>
      <protection locked="0"/>
    </xf>
    <xf numFmtId="0" fontId="0" fillId="7" borderId="8" xfId="0" applyFill="1" applyBorder="1" applyAlignment="1" applyProtection="1">
      <alignment horizontal="left"/>
      <protection locked="0"/>
    </xf>
    <xf numFmtId="1" fontId="2" fillId="7" borderId="5" xfId="0" applyNumberFormat="1" applyFont="1" applyFill="1" applyBorder="1" applyAlignment="1" applyProtection="1">
      <alignment horizontal="right"/>
      <protection locked="0"/>
    </xf>
    <xf numFmtId="169" fontId="0" fillId="53" borderId="5" xfId="0" applyNumberFormat="1" applyFill="1" applyBorder="1" applyAlignment="1" applyProtection="1">
      <alignment horizontal="right"/>
      <protection locked="0"/>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2" fillId="7" borderId="3" xfId="0" applyFont="1"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0" fontId="0" fillId="7" borderId="3" xfId="0" applyFill="1" applyBorder="1" applyAlignment="1" applyProtection="1">
      <alignment horizontal="left"/>
      <protection locked="0"/>
    </xf>
    <xf numFmtId="14" fontId="0" fillId="7" borderId="4" xfId="0" applyNumberFormat="1" applyFill="1" applyBorder="1" applyAlignment="1" applyProtection="1">
      <alignment horizontal="right"/>
      <protection locked="0"/>
    </xf>
    <xf numFmtId="0" fontId="0" fillId="7" borderId="4" xfId="0" applyFill="1" applyBorder="1" applyAlignment="1" applyProtection="1">
      <alignment horizontal="right"/>
      <protection locked="0"/>
    </xf>
    <xf numFmtId="3" fontId="11" fillId="7" borderId="12" xfId="0" applyNumberFormat="1" applyFont="1" applyFill="1" applyBorder="1" applyAlignment="1" applyProtection="1">
      <alignment horizontal="center"/>
      <protection locked="0"/>
    </xf>
    <xf numFmtId="49" fontId="11" fillId="7" borderId="5" xfId="273" applyNumberFormat="1" applyFill="1" applyBorder="1" applyAlignment="1" applyProtection="1">
      <alignment horizontal="center"/>
      <protection locked="0"/>
    </xf>
    <xf numFmtId="169" fontId="2" fillId="0" borderId="3" xfId="0" applyNumberFormat="1" applyFont="1" applyFill="1" applyBorder="1" applyAlignment="1" applyProtection="1">
      <alignment horizontal="left" vertical="top"/>
    </xf>
    <xf numFmtId="169" fontId="2" fillId="0" borderId="4" xfId="0" applyNumberFormat="1" applyFont="1" applyFill="1" applyBorder="1" applyAlignment="1" applyProtection="1">
      <alignment horizontal="left" vertical="top"/>
    </xf>
    <xf numFmtId="169" fontId="2" fillId="0" borderId="8" xfId="0" applyNumberFormat="1" applyFont="1" applyFill="1" applyBorder="1" applyAlignment="1" applyProtection="1">
      <alignment horizontal="left" vertical="top"/>
    </xf>
    <xf numFmtId="169" fontId="11" fillId="7" borderId="3" xfId="0" applyNumberFormat="1" applyFont="1" applyFill="1" applyBorder="1" applyAlignment="1" applyProtection="1">
      <alignment horizontal="left" vertical="top"/>
      <protection locked="0"/>
    </xf>
    <xf numFmtId="169" fontId="11" fillId="7" borderId="4" xfId="0" applyNumberFormat="1" applyFont="1" applyFill="1" applyBorder="1" applyAlignment="1" applyProtection="1">
      <alignment horizontal="left" vertical="top"/>
      <protection locked="0"/>
    </xf>
    <xf numFmtId="169" fontId="11" fillId="7" borderId="8" xfId="0" applyNumberFormat="1" applyFont="1" applyFill="1" applyBorder="1" applyAlignment="1" applyProtection="1">
      <alignment horizontal="left" vertical="top"/>
      <protection locked="0"/>
    </xf>
    <xf numFmtId="0" fontId="9" fillId="0" borderId="3" xfId="0" applyFont="1" applyBorder="1" applyAlignment="1" applyProtection="1">
      <alignment horizontal="center"/>
    </xf>
    <xf numFmtId="0" fontId="9" fillId="0" borderId="4" xfId="0" applyFont="1" applyBorder="1" applyAlignment="1" applyProtection="1">
      <alignment horizontal="center"/>
    </xf>
    <xf numFmtId="0" fontId="9" fillId="0" borderId="8" xfId="0" applyFont="1" applyBorder="1" applyAlignment="1" applyProtection="1">
      <alignment horizontal="center"/>
    </xf>
    <xf numFmtId="169" fontId="11" fillId="0" borderId="12" xfId="0" applyNumberFormat="1" applyFont="1" applyFill="1" applyBorder="1" applyAlignment="1" applyProtection="1">
      <alignment horizontal="center"/>
    </xf>
    <xf numFmtId="0" fontId="0" fillId="0" borderId="4" xfId="0" applyBorder="1" applyAlignment="1" applyProtection="1">
      <alignment horizontal="left"/>
    </xf>
    <xf numFmtId="0" fontId="0" fillId="0" borderId="8" xfId="0" applyBorder="1" applyAlignment="1" applyProtection="1">
      <alignment horizontal="left"/>
    </xf>
    <xf numFmtId="9" fontId="11" fillId="0" borderId="12" xfId="0" applyNumberFormat="1" applyFont="1" applyFill="1" applyBorder="1" applyAlignment="1" applyProtection="1">
      <alignment horizontal="center"/>
    </xf>
    <xf numFmtId="169" fontId="11" fillId="0" borderId="3" xfId="0" applyNumberFormat="1" applyFont="1" applyFill="1" applyBorder="1" applyAlignment="1" applyProtection="1">
      <alignment horizontal="left" vertical="top"/>
    </xf>
    <xf numFmtId="169" fontId="11" fillId="0" borderId="4" xfId="0" applyNumberFormat="1" applyFont="1" applyFill="1" applyBorder="1" applyAlignment="1" applyProtection="1">
      <alignment horizontal="left" vertical="top"/>
    </xf>
    <xf numFmtId="169" fontId="11" fillId="0" borderId="8" xfId="0" applyNumberFormat="1" applyFont="1" applyFill="1" applyBorder="1" applyAlignment="1" applyProtection="1">
      <alignment horizontal="left" vertical="top"/>
    </xf>
    <xf numFmtId="0" fontId="2" fillId="7" borderId="0" xfId="0" applyFont="1" applyFill="1" applyBorder="1" applyAlignment="1" applyProtection="1">
      <alignment horizontal="left" vertical="top" wrapText="1"/>
      <protection locked="0"/>
    </xf>
    <xf numFmtId="0" fontId="0" fillId="7" borderId="0" xfId="0" applyFill="1" applyBorder="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1" fontId="11" fillId="7" borderId="12" xfId="0" quotePrefix="1" applyNumberFormat="1" applyFont="1" applyFill="1" applyBorder="1" applyAlignment="1" applyProtection="1">
      <alignment horizontal="center"/>
      <protection locked="0"/>
    </xf>
    <xf numFmtId="1" fontId="11" fillId="7" borderId="12" xfId="0" applyNumberFormat="1" applyFont="1" applyFill="1" applyBorder="1" applyAlignment="1" applyProtection="1">
      <alignment horizontal="center"/>
      <protection locked="0"/>
    </xf>
    <xf numFmtId="0" fontId="9" fillId="0" borderId="2" xfId="0" applyFont="1" applyBorder="1" applyAlignment="1" applyProtection="1">
      <alignment horizontal="center" wrapText="1"/>
    </xf>
    <xf numFmtId="0" fontId="9" fillId="0" borderId="11" xfId="0" applyFont="1" applyBorder="1" applyAlignment="1" applyProtection="1">
      <alignment horizontal="center" wrapText="1"/>
    </xf>
    <xf numFmtId="0" fontId="0" fillId="0" borderId="1" xfId="0" applyBorder="1" applyAlignment="1" applyProtection="1">
      <alignment horizontal="left" wrapText="1"/>
    </xf>
    <xf numFmtId="0" fontId="0" fillId="0" borderId="2" xfId="0" applyBorder="1" applyAlignment="1" applyProtection="1">
      <alignment horizontal="left" wrapText="1"/>
    </xf>
    <xf numFmtId="0" fontId="0" fillId="0" borderId="11" xfId="0" applyBorder="1" applyAlignment="1" applyProtection="1">
      <alignment horizontal="left" wrapText="1"/>
    </xf>
    <xf numFmtId="0" fontId="0" fillId="0" borderId="9" xfId="0" applyBorder="1" applyAlignment="1" applyProtection="1">
      <alignment horizontal="left" wrapText="1"/>
    </xf>
    <xf numFmtId="0" fontId="0" fillId="0" borderId="5" xfId="0" applyBorder="1" applyAlignment="1" applyProtection="1">
      <alignment horizontal="left" wrapText="1"/>
    </xf>
    <xf numFmtId="0" fontId="0" fillId="0" borderId="10" xfId="0" applyBorder="1" applyAlignment="1" applyProtection="1">
      <alignment horizontal="left" wrapText="1"/>
    </xf>
    <xf numFmtId="0" fontId="2" fillId="53" borderId="5" xfId="0" applyFont="1" applyFill="1" applyBorder="1" applyAlignment="1" applyProtection="1">
      <alignment horizontal="left"/>
      <protection locked="0"/>
    </xf>
    <xf numFmtId="0" fontId="0" fillId="53" borderId="10" xfId="0" applyFill="1" applyBorder="1" applyAlignment="1" applyProtection="1">
      <alignment horizontal="left"/>
      <protection locked="0"/>
    </xf>
    <xf numFmtId="0" fontId="2" fillId="7" borderId="9" xfId="0" applyFont="1" applyFill="1" applyBorder="1" applyAlignment="1" applyProtection="1">
      <alignment horizontal="center"/>
      <protection locked="0"/>
    </xf>
    <xf numFmtId="0" fontId="2" fillId="7" borderId="5" xfId="0" applyFont="1" applyFill="1" applyBorder="1" applyAlignment="1" applyProtection="1">
      <alignment horizontal="center"/>
      <protection locked="0"/>
    </xf>
    <xf numFmtId="0" fontId="2" fillId="7" borderId="12" xfId="0" applyFont="1" applyFill="1" applyBorder="1" applyAlignment="1" applyProtection="1">
      <alignment horizontal="center"/>
      <protection locked="0"/>
    </xf>
    <xf numFmtId="0" fontId="10" fillId="53" borderId="5" xfId="0" applyFont="1" applyFill="1" applyBorder="1" applyAlignment="1" applyProtection="1">
      <alignment horizontal="left"/>
      <protection locked="0"/>
    </xf>
    <xf numFmtId="0" fontId="2" fillId="53" borderId="4" xfId="0" applyFont="1" applyFill="1" applyBorder="1" applyAlignment="1" applyProtection="1">
      <alignment horizontal="left" wrapText="1"/>
      <protection locked="0"/>
    </xf>
    <xf numFmtId="0" fontId="9" fillId="0" borderId="12" xfId="0" applyFont="1" applyBorder="1" applyAlignment="1" applyProtection="1">
      <alignment horizontal="center" vertical="top" wrapText="1"/>
    </xf>
    <xf numFmtId="0" fontId="11" fillId="0" borderId="3" xfId="0" applyFont="1" applyBorder="1" applyAlignment="1" applyProtection="1">
      <alignment horizontal="left"/>
    </xf>
    <xf numFmtId="3" fontId="11" fillId="0" borderId="0" xfId="0" applyNumberFormat="1" applyFont="1" applyFill="1" applyBorder="1" applyAlignment="1" applyProtection="1">
      <alignment horizontal="center"/>
    </xf>
    <xf numFmtId="0" fontId="11" fillId="7" borderId="12" xfId="0" applyFont="1" applyFill="1" applyBorder="1" applyAlignment="1" applyProtection="1">
      <alignment horizontal="center"/>
      <protection locked="0"/>
    </xf>
    <xf numFmtId="0" fontId="2" fillId="0" borderId="0" xfId="0" applyFont="1" applyAlignment="1" applyProtection="1">
      <alignment horizontal="left" wrapText="1"/>
    </xf>
    <xf numFmtId="173" fontId="0" fillId="7" borderId="5" xfId="0" applyNumberFormat="1" applyFill="1" applyBorder="1" applyAlignment="1" applyProtection="1">
      <alignment horizontal="center"/>
      <protection locked="0"/>
    </xf>
    <xf numFmtId="169" fontId="2" fillId="0" borderId="0" xfId="0" applyNumberFormat="1" applyFont="1" applyFill="1" applyBorder="1" applyAlignment="1" applyProtection="1">
      <alignment horizontal="right" vertical="top"/>
    </xf>
    <xf numFmtId="169" fontId="2" fillId="0" borderId="13" xfId="0" applyNumberFormat="1" applyFont="1" applyFill="1" applyBorder="1" applyAlignment="1" applyProtection="1">
      <alignment horizontal="right" vertical="top"/>
    </xf>
    <xf numFmtId="3" fontId="11" fillId="0" borderId="12" xfId="0" applyNumberFormat="1" applyFont="1" applyFill="1" applyBorder="1" applyAlignment="1" applyProtection="1">
      <alignment horizontal="center"/>
    </xf>
    <xf numFmtId="0" fontId="0" fillId="0" borderId="5" xfId="0" applyFill="1" applyBorder="1" applyAlignment="1" applyProtection="1">
      <alignment horizontal="center"/>
    </xf>
    <xf numFmtId="0" fontId="0" fillId="0" borderId="10" xfId="0" applyFill="1" applyBorder="1" applyAlignment="1" applyProtection="1">
      <alignment horizontal="center"/>
    </xf>
    <xf numFmtId="0" fontId="9" fillId="0" borderId="3" xfId="0" applyFont="1" applyFill="1" applyBorder="1" applyAlignment="1" applyProtection="1">
      <alignment horizontal="center"/>
    </xf>
    <xf numFmtId="0" fontId="9" fillId="0" borderId="4" xfId="0" applyFont="1" applyFill="1" applyBorder="1" applyAlignment="1" applyProtection="1">
      <alignment horizontal="center"/>
    </xf>
    <xf numFmtId="0" fontId="11" fillId="7" borderId="3" xfId="0" applyNumberFormat="1" applyFont="1" applyFill="1" applyBorder="1" applyAlignment="1" applyProtection="1">
      <alignment horizontal="right" vertical="top"/>
      <protection locked="0"/>
    </xf>
    <xf numFmtId="0" fontId="11" fillId="7" borderId="4" xfId="0" applyNumberFormat="1" applyFont="1" applyFill="1" applyBorder="1" applyAlignment="1" applyProtection="1">
      <alignment horizontal="right" vertical="top"/>
      <protection locked="0"/>
    </xf>
    <xf numFmtId="0" fontId="11" fillId="7" borderId="8" xfId="0" applyNumberFormat="1" applyFont="1" applyFill="1" applyBorder="1" applyAlignment="1" applyProtection="1">
      <alignment horizontal="right" vertical="top"/>
      <protection locked="0"/>
    </xf>
    <xf numFmtId="0" fontId="10" fillId="7" borderId="0" xfId="0" applyFont="1" applyFill="1" applyBorder="1" applyAlignment="1" applyProtection="1">
      <alignment horizontal="left" vertical="top" wrapText="1"/>
      <protection locked="0"/>
    </xf>
    <xf numFmtId="0" fontId="10" fillId="7" borderId="5" xfId="0" applyFont="1" applyFill="1" applyBorder="1" applyAlignment="1" applyProtection="1">
      <alignment horizontal="left" vertical="top" wrapText="1"/>
      <protection locked="0"/>
    </xf>
    <xf numFmtId="0" fontId="9" fillId="0" borderId="0" xfId="273" applyFont="1" applyFill="1" applyBorder="1" applyAlignment="1" applyProtection="1">
      <alignment horizontal="left" vertical="top" wrapText="1"/>
    </xf>
    <xf numFmtId="0" fontId="9" fillId="7" borderId="3" xfId="0" applyFont="1" applyFill="1" applyBorder="1" applyAlignment="1" applyProtection="1">
      <alignment horizontal="right"/>
      <protection locked="0"/>
    </xf>
    <xf numFmtId="0" fontId="9" fillId="7" borderId="4" xfId="0" applyFont="1" applyFill="1" applyBorder="1" applyAlignment="1" applyProtection="1">
      <alignment horizontal="right"/>
      <protection locked="0"/>
    </xf>
    <xf numFmtId="0" fontId="9" fillId="7" borderId="8" xfId="0" applyFont="1" applyFill="1" applyBorder="1" applyAlignment="1" applyProtection="1">
      <alignment horizontal="right"/>
      <protection locked="0"/>
    </xf>
    <xf numFmtId="0" fontId="0" fillId="7" borderId="3" xfId="0" quotePrefix="1" applyNumberFormat="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0" fontId="11" fillId="7" borderId="5" xfId="273" applyFont="1" applyFill="1" applyBorder="1" applyAlignment="1" applyProtection="1">
      <protection locked="0"/>
    </xf>
    <xf numFmtId="0" fontId="2" fillId="7" borderId="3" xfId="0" applyFont="1" applyFill="1" applyBorder="1" applyAlignment="1" applyProtection="1">
      <protection locked="0"/>
    </xf>
    <xf numFmtId="0" fontId="11" fillId="0" borderId="4" xfId="0" applyFont="1" applyBorder="1" applyAlignment="1" applyProtection="1">
      <protection locked="0"/>
    </xf>
    <xf numFmtId="0" fontId="11" fillId="0" borderId="8" xfId="0" applyFont="1" applyBorder="1" applyAlignment="1" applyProtection="1">
      <protection locked="0"/>
    </xf>
    <xf numFmtId="0" fontId="22" fillId="7" borderId="4" xfId="0" applyFont="1" applyFill="1" applyBorder="1" applyAlignment="1" applyProtection="1">
      <alignment horizontal="left"/>
      <protection locked="0"/>
    </xf>
    <xf numFmtId="0" fontId="22" fillId="7" borderId="8" xfId="0" applyFont="1" applyFill="1" applyBorder="1" applyAlignment="1" applyProtection="1">
      <alignment horizontal="left"/>
      <protection locked="0"/>
    </xf>
    <xf numFmtId="169" fontId="0" fillId="0" borderId="12" xfId="0" applyNumberFormat="1" applyFill="1" applyBorder="1" applyAlignment="1" applyProtection="1">
      <alignment horizontal="center"/>
    </xf>
    <xf numFmtId="3" fontId="0" fillId="7" borderId="3" xfId="0" applyNumberFormat="1" applyFill="1" applyBorder="1" applyAlignment="1" applyProtection="1">
      <alignment horizontal="right"/>
      <protection locked="0"/>
    </xf>
    <xf numFmtId="0" fontId="9" fillId="0" borderId="3" xfId="0" applyFont="1" applyFill="1" applyBorder="1" applyAlignment="1" applyProtection="1">
      <alignment horizontal="right"/>
    </xf>
    <xf numFmtId="0" fontId="9" fillId="0" borderId="4" xfId="0" applyFont="1" applyFill="1" applyBorder="1" applyAlignment="1" applyProtection="1">
      <alignment horizontal="right"/>
    </xf>
    <xf numFmtId="0" fontId="9" fillId="0" borderId="8" xfId="0" applyFont="1" applyFill="1" applyBorder="1" applyAlignment="1" applyProtection="1">
      <alignment horizontal="right"/>
    </xf>
    <xf numFmtId="14" fontId="0" fillId="7" borderId="3" xfId="0" quotePrefix="1"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0" fillId="0" borderId="9" xfId="0" applyBorder="1" applyAlignment="1" applyProtection="1">
      <alignment horizontal="center" wrapText="1"/>
    </xf>
    <xf numFmtId="0" fontId="0" fillId="0" borderId="5" xfId="0" applyBorder="1" applyAlignment="1" applyProtection="1">
      <alignment horizontal="center" wrapText="1"/>
    </xf>
    <xf numFmtId="0" fontId="0" fillId="0" borderId="10" xfId="0" applyBorder="1" applyAlignment="1" applyProtection="1">
      <alignment horizontal="center" wrapText="1"/>
    </xf>
    <xf numFmtId="165" fontId="9" fillId="0" borderId="3" xfId="574" applyNumberFormat="1" applyFont="1" applyBorder="1" applyAlignment="1" applyProtection="1">
      <alignment horizontal="center"/>
    </xf>
    <xf numFmtId="165" fontId="9" fillId="0" borderId="4" xfId="574" applyNumberFormat="1" applyFont="1" applyBorder="1" applyAlignment="1" applyProtection="1">
      <alignment horizontal="center"/>
    </xf>
    <xf numFmtId="165" fontId="9" fillId="0" borderId="8" xfId="574" applyNumberFormat="1" applyFont="1" applyBorder="1" applyAlignment="1" applyProtection="1">
      <alignment horizontal="center"/>
    </xf>
    <xf numFmtId="0" fontId="9" fillId="0" borderId="2" xfId="0" applyFont="1" applyFill="1" applyBorder="1" applyAlignment="1" applyProtection="1">
      <alignment horizontal="center" wrapText="1"/>
    </xf>
    <xf numFmtId="0" fontId="9" fillId="0" borderId="11" xfId="0" applyFont="1" applyFill="1" applyBorder="1" applyAlignment="1" applyProtection="1">
      <alignment horizontal="center" wrapText="1"/>
    </xf>
    <xf numFmtId="0" fontId="9" fillId="0" borderId="5" xfId="0" applyFont="1" applyFill="1" applyBorder="1" applyAlignment="1" applyProtection="1">
      <alignment horizontal="center" wrapText="1"/>
    </xf>
    <xf numFmtId="0" fontId="9" fillId="0" borderId="10" xfId="0" applyFont="1" applyFill="1" applyBorder="1" applyAlignment="1" applyProtection="1">
      <alignment horizontal="center" wrapText="1"/>
    </xf>
    <xf numFmtId="0" fontId="9" fillId="0" borderId="12" xfId="0" applyFont="1" applyFill="1" applyBorder="1" applyAlignment="1" applyProtection="1">
      <alignment horizontal="center"/>
    </xf>
    <xf numFmtId="0" fontId="0" fillId="0" borderId="3" xfId="0" applyBorder="1" applyAlignment="1" applyProtection="1">
      <alignment horizontal="left"/>
    </xf>
    <xf numFmtId="169" fontId="0" fillId="7" borderId="3" xfId="0" applyNumberFormat="1" applyFill="1" applyBorder="1" applyAlignment="1" applyProtection="1">
      <protection locked="0"/>
    </xf>
    <xf numFmtId="169" fontId="0" fillId="7" borderId="4" xfId="0" applyNumberFormat="1" applyFill="1" applyBorder="1" applyAlignment="1" applyProtection="1">
      <protection locked="0"/>
    </xf>
    <xf numFmtId="169" fontId="0" fillId="7" borderId="8" xfId="0" applyNumberFormat="1" applyFill="1" applyBorder="1" applyAlignment="1" applyProtection="1">
      <protection locked="0"/>
    </xf>
    <xf numFmtId="0" fontId="22" fillId="7" borderId="3" xfId="0" applyFont="1" applyFill="1" applyBorder="1" applyAlignment="1" applyProtection="1">
      <alignment horizontal="left"/>
      <protection locked="0"/>
    </xf>
    <xf numFmtId="169" fontId="0" fillId="0" borderId="0" xfId="0" applyNumberFormat="1" applyFill="1" applyBorder="1" applyAlignment="1" applyProtection="1">
      <alignment horizontal="right"/>
    </xf>
    <xf numFmtId="169" fontId="0" fillId="7" borderId="15" xfId="0" applyNumberFormat="1" applyFill="1" applyBorder="1" applyAlignment="1" applyProtection="1">
      <alignment horizontal="right"/>
      <protection locked="0"/>
    </xf>
    <xf numFmtId="0" fontId="9" fillId="0" borderId="1" xfId="0" applyFont="1" applyBorder="1" applyAlignment="1" applyProtection="1">
      <alignment horizontal="center"/>
    </xf>
    <xf numFmtId="0" fontId="9" fillId="0" borderId="2" xfId="0" applyFont="1" applyBorder="1" applyAlignment="1" applyProtection="1">
      <alignment horizontal="center"/>
    </xf>
    <xf numFmtId="0" fontId="9" fillId="0" borderId="11" xfId="0" applyFont="1" applyBorder="1" applyAlignment="1" applyProtection="1">
      <alignment horizontal="center"/>
    </xf>
    <xf numFmtId="0" fontId="9" fillId="7" borderId="12" xfId="0" applyFont="1" applyFill="1" applyBorder="1" applyAlignment="1" applyProtection="1">
      <alignment horizontal="center"/>
      <protection locked="0"/>
    </xf>
    <xf numFmtId="0" fontId="9" fillId="0" borderId="1" xfId="0" applyFont="1" applyBorder="1" applyAlignment="1" applyProtection="1">
      <alignment horizontal="center" wrapText="1"/>
    </xf>
    <xf numFmtId="0" fontId="9" fillId="0" borderId="7" xfId="0" applyFont="1" applyBorder="1" applyAlignment="1" applyProtection="1">
      <alignment horizontal="center" wrapText="1"/>
    </xf>
    <xf numFmtId="0" fontId="9" fillId="0" borderId="0" xfId="0" applyFont="1" applyBorder="1" applyAlignment="1" applyProtection="1">
      <alignment horizontal="center" wrapText="1"/>
    </xf>
    <xf numFmtId="0" fontId="9" fillId="0" borderId="13" xfId="0" applyFont="1" applyBorder="1" applyAlignment="1" applyProtection="1">
      <alignment horizontal="center" wrapText="1"/>
    </xf>
    <xf numFmtId="0" fontId="9" fillId="0" borderId="9" xfId="0" applyFont="1" applyBorder="1" applyAlignment="1" applyProtection="1">
      <alignment horizontal="center" wrapText="1"/>
    </xf>
    <xf numFmtId="0" fontId="9" fillId="0" borderId="5" xfId="0" applyFont="1" applyBorder="1" applyAlignment="1" applyProtection="1">
      <alignment horizontal="center" wrapText="1"/>
    </xf>
    <xf numFmtId="0" fontId="9" fillId="0" borderId="10" xfId="0" applyFont="1" applyBorder="1" applyAlignment="1" applyProtection="1">
      <alignment horizontal="center" wrapText="1"/>
    </xf>
    <xf numFmtId="0" fontId="2" fillId="0" borderId="3" xfId="0" applyFont="1" applyFill="1" applyBorder="1" applyAlignment="1" applyProtection="1">
      <alignment horizontal="center"/>
    </xf>
    <xf numFmtId="0" fontId="2" fillId="0" borderId="4" xfId="0" applyFont="1" applyFill="1" applyBorder="1" applyAlignment="1" applyProtection="1">
      <alignment horizontal="center"/>
    </xf>
    <xf numFmtId="0" fontId="2" fillId="0" borderId="8" xfId="0" applyFont="1" applyFill="1" applyBorder="1" applyAlignment="1" applyProtection="1">
      <alignment horizontal="center"/>
    </xf>
    <xf numFmtId="0" fontId="2" fillId="0" borderId="12" xfId="0" applyFont="1" applyFill="1" applyBorder="1" applyAlignment="1" applyProtection="1">
      <alignment horizontal="center" vertical="top" wrapText="1"/>
    </xf>
    <xf numFmtId="0" fontId="9" fillId="0" borderId="9" xfId="0" applyFont="1" applyBorder="1" applyAlignment="1" applyProtection="1">
      <alignment horizontal="right"/>
    </xf>
    <xf numFmtId="0" fontId="9" fillId="0" borderId="10" xfId="0" applyFont="1" applyBorder="1" applyAlignment="1" applyProtection="1">
      <alignment horizontal="right"/>
    </xf>
    <xf numFmtId="0" fontId="9" fillId="0" borderId="7" xfId="0" applyFont="1" applyBorder="1" applyAlignment="1" applyProtection="1">
      <alignment horizontal="center"/>
    </xf>
    <xf numFmtId="0" fontId="9" fillId="0" borderId="0" xfId="0" applyFont="1" applyBorder="1" applyAlignment="1" applyProtection="1">
      <alignment horizontal="center"/>
    </xf>
    <xf numFmtId="0" fontId="9" fillId="0" borderId="13" xfId="0" applyFont="1" applyBorder="1" applyAlignment="1" applyProtection="1">
      <alignment horizontal="center"/>
    </xf>
    <xf numFmtId="0" fontId="9" fillId="0" borderId="9" xfId="0" applyFont="1" applyBorder="1" applyAlignment="1" applyProtection="1">
      <alignment horizontal="center"/>
    </xf>
    <xf numFmtId="173" fontId="9" fillId="0" borderId="2" xfId="0" applyNumberFormat="1" applyFont="1" applyBorder="1" applyAlignment="1" applyProtection="1">
      <alignment horizontal="center" wrapText="1"/>
    </xf>
    <xf numFmtId="173" fontId="9" fillId="0" borderId="11" xfId="0" applyNumberFormat="1" applyFont="1" applyBorder="1" applyAlignment="1" applyProtection="1">
      <alignment horizontal="center" wrapText="1"/>
    </xf>
    <xf numFmtId="173" fontId="9" fillId="0" borderId="0" xfId="0" applyNumberFormat="1" applyFont="1" applyBorder="1" applyAlignment="1" applyProtection="1">
      <alignment horizontal="center" wrapText="1"/>
    </xf>
    <xf numFmtId="173" fontId="9" fillId="0" borderId="13" xfId="0" applyNumberFormat="1" applyFont="1" applyBorder="1" applyAlignment="1" applyProtection="1">
      <alignment horizontal="center" wrapText="1"/>
    </xf>
    <xf numFmtId="173" fontId="9" fillId="0" borderId="5" xfId="0" applyNumberFormat="1" applyFont="1" applyBorder="1" applyAlignment="1" applyProtection="1">
      <alignment horizontal="center" wrapText="1"/>
    </xf>
    <xf numFmtId="173" fontId="9" fillId="0" borderId="10" xfId="0" applyNumberFormat="1" applyFont="1" applyBorder="1" applyAlignment="1" applyProtection="1">
      <alignment horizontal="center" wrapText="1"/>
    </xf>
    <xf numFmtId="0" fontId="46" fillId="0" borderId="1" xfId="0" applyFont="1" applyBorder="1" applyAlignment="1" applyProtection="1">
      <alignment horizontal="center" wrapText="1"/>
    </xf>
    <xf numFmtId="0" fontId="46" fillId="0" borderId="2" xfId="0" applyFont="1" applyBorder="1" applyAlignment="1" applyProtection="1">
      <alignment horizontal="center" wrapText="1"/>
    </xf>
    <xf numFmtId="0" fontId="46" fillId="0" borderId="11" xfId="0" applyFont="1" applyBorder="1" applyAlignment="1" applyProtection="1">
      <alignment horizontal="center" wrapText="1"/>
    </xf>
    <xf numFmtId="0" fontId="46" fillId="0" borderId="7" xfId="0" applyFont="1" applyBorder="1" applyAlignment="1" applyProtection="1">
      <alignment horizontal="center" wrapText="1"/>
    </xf>
    <xf numFmtId="0" fontId="46" fillId="0" borderId="0" xfId="0" applyFont="1" applyBorder="1" applyAlignment="1" applyProtection="1">
      <alignment horizontal="center" wrapText="1"/>
    </xf>
    <xf numFmtId="0" fontId="46" fillId="0" borderId="13" xfId="0" applyFont="1" applyBorder="1" applyAlignment="1" applyProtection="1">
      <alignment horizontal="center" wrapText="1"/>
    </xf>
    <xf numFmtId="0" fontId="46" fillId="0" borderId="9" xfId="0" applyFont="1" applyBorder="1" applyAlignment="1" applyProtection="1">
      <alignment horizontal="center" wrapText="1"/>
    </xf>
    <xf numFmtId="0" fontId="46" fillId="0" borderId="5" xfId="0" applyFont="1" applyBorder="1" applyAlignment="1" applyProtection="1">
      <alignment horizontal="center" wrapText="1"/>
    </xf>
    <xf numFmtId="0" fontId="46" fillId="0" borderId="10" xfId="0" applyFont="1" applyBorder="1" applyAlignment="1" applyProtection="1">
      <alignment horizontal="center" wrapText="1"/>
    </xf>
    <xf numFmtId="0" fontId="19" fillId="0" borderId="1" xfId="0" applyFont="1" applyBorder="1" applyAlignment="1" applyProtection="1">
      <alignment horizontal="center" wrapText="1"/>
    </xf>
    <xf numFmtId="0" fontId="19" fillId="0" borderId="2" xfId="0" applyFont="1" applyBorder="1" applyAlignment="1" applyProtection="1">
      <alignment horizontal="center" wrapText="1"/>
    </xf>
    <xf numFmtId="0" fontId="19" fillId="0" borderId="11" xfId="0" applyFont="1" applyBorder="1" applyAlignment="1" applyProtection="1">
      <alignment horizontal="center" wrapText="1"/>
    </xf>
    <xf numFmtId="0" fontId="19" fillId="0" borderId="7" xfId="0" applyFont="1" applyBorder="1" applyAlignment="1" applyProtection="1">
      <alignment horizontal="center" wrapText="1"/>
    </xf>
    <xf numFmtId="0" fontId="19" fillId="0" borderId="0" xfId="0" applyFont="1" applyBorder="1" applyAlignment="1" applyProtection="1">
      <alignment horizontal="center" wrapText="1"/>
    </xf>
    <xf numFmtId="0" fontId="19" fillId="0" borderId="13" xfId="0" applyFont="1" applyBorder="1" applyAlignment="1" applyProtection="1">
      <alignment horizontal="center" wrapText="1"/>
    </xf>
    <xf numFmtId="0" fontId="19" fillId="0" borderId="9" xfId="0" applyFont="1" applyBorder="1" applyAlignment="1" applyProtection="1">
      <alignment horizontal="center" wrapText="1"/>
    </xf>
    <xf numFmtId="0" fontId="19" fillId="0" borderId="5" xfId="0" applyFont="1" applyBorder="1" applyAlignment="1" applyProtection="1">
      <alignment horizontal="center" wrapText="1"/>
    </xf>
    <xf numFmtId="0" fontId="19" fillId="0" borderId="10" xfId="0" applyFont="1" applyBorder="1" applyAlignment="1" applyProtection="1">
      <alignment horizontal="center" wrapText="1"/>
    </xf>
    <xf numFmtId="0" fontId="9" fillId="0" borderId="8" xfId="0" applyFont="1" applyFill="1" applyBorder="1" applyAlignment="1" applyProtection="1">
      <alignment horizontal="center"/>
    </xf>
    <xf numFmtId="0" fontId="22" fillId="7" borderId="5" xfId="0" applyFont="1" applyFill="1" applyBorder="1" applyAlignment="1" applyProtection="1">
      <alignment horizontal="left"/>
      <protection locked="0"/>
    </xf>
    <xf numFmtId="0" fontId="0" fillId="7" borderId="5" xfId="0" applyFill="1" applyBorder="1" applyAlignment="1" applyProtection="1">
      <protection locked="0"/>
    </xf>
    <xf numFmtId="0" fontId="11" fillId="7" borderId="5" xfId="273" applyNumberFormat="1" applyFill="1" applyBorder="1" applyAlignment="1" applyProtection="1">
      <alignment horizontal="center"/>
      <protection locked="0"/>
    </xf>
    <xf numFmtId="169" fontId="11" fillId="7" borderId="5" xfId="273" applyNumberFormat="1" applyFill="1" applyBorder="1" applyAlignment="1" applyProtection="1">
      <alignment horizontal="right"/>
      <protection locked="0"/>
    </xf>
    <xf numFmtId="9" fontId="10" fillId="7" borderId="5" xfId="0" applyNumberFormat="1" applyFont="1" applyFill="1" applyBorder="1" applyAlignment="1" applyProtection="1">
      <alignment horizontal="center"/>
      <protection locked="0"/>
    </xf>
    <xf numFmtId="0" fontId="2" fillId="7" borderId="5" xfId="245" applyFont="1" applyFill="1" applyBorder="1" applyAlignment="1" applyProtection="1">
      <alignment horizontal="left"/>
      <protection locked="0"/>
    </xf>
    <xf numFmtId="0" fontId="11" fillId="7" borderId="5" xfId="0" applyFont="1" applyFill="1" applyBorder="1" applyAlignment="1" applyProtection="1">
      <alignment horizontal="left"/>
      <protection locked="0"/>
    </xf>
    <xf numFmtId="0" fontId="11" fillId="7" borderId="5" xfId="0" applyFont="1" applyFill="1" applyBorder="1" applyAlignment="1" applyProtection="1">
      <alignment horizontal="left" wrapText="1"/>
      <protection locked="0"/>
    </xf>
    <xf numFmtId="167" fontId="11" fillId="7" borderId="5" xfId="0" applyNumberFormat="1" applyFont="1" applyFill="1" applyBorder="1" applyAlignment="1" applyProtection="1">
      <alignment horizontal="left"/>
      <protection locked="0"/>
    </xf>
    <xf numFmtId="0" fontId="42" fillId="0" borderId="0" xfId="0" applyFont="1" applyBorder="1" applyAlignment="1" applyProtection="1">
      <alignment horizontal="center" vertical="center"/>
    </xf>
    <xf numFmtId="169" fontId="0" fillId="0" borderId="5" xfId="0" applyNumberFormat="1" applyFill="1" applyBorder="1" applyAlignment="1" applyProtection="1">
      <alignment horizontal="center"/>
    </xf>
    <xf numFmtId="0" fontId="0" fillId="7" borderId="4" xfId="0" applyFont="1" applyFill="1" applyBorder="1" applyAlignment="1" applyProtection="1">
      <alignment horizontal="left"/>
      <protection locked="0"/>
    </xf>
    <xf numFmtId="0" fontId="20" fillId="0" borderId="0" xfId="0" applyFont="1" applyBorder="1" applyAlignment="1" applyProtection="1">
      <alignment horizontal="center"/>
    </xf>
    <xf numFmtId="0" fontId="2" fillId="7" borderId="5" xfId="0" applyFont="1" applyFill="1" applyBorder="1" applyAlignment="1" applyProtection="1">
      <alignment horizontal="left" wrapText="1"/>
      <protection locked="0"/>
    </xf>
    <xf numFmtId="0" fontId="2" fillId="0" borderId="0" xfId="0" applyFont="1" applyFill="1" applyAlignment="1" applyProtection="1">
      <alignment horizontal="center"/>
    </xf>
    <xf numFmtId="0" fontId="11" fillId="0" borderId="0" xfId="0" applyFont="1" applyFill="1" applyAlignment="1" applyProtection="1">
      <alignment horizontal="center"/>
    </xf>
    <xf numFmtId="0" fontId="2" fillId="7" borderId="5" xfId="0" applyFont="1" applyFill="1" applyBorder="1" applyAlignment="1" applyProtection="1">
      <alignment horizontal="right"/>
      <protection locked="0"/>
    </xf>
    <xf numFmtId="0" fontId="11" fillId="7" borderId="5" xfId="0" applyFont="1" applyFill="1" applyBorder="1" applyAlignment="1" applyProtection="1">
      <alignment horizontal="right"/>
      <protection locked="0"/>
    </xf>
    <xf numFmtId="0" fontId="10" fillId="0" borderId="0" xfId="0" applyFont="1" applyAlignment="1" applyProtection="1">
      <alignment horizontal="center"/>
    </xf>
    <xf numFmtId="169" fontId="11" fillId="0" borderId="5" xfId="0" applyNumberFormat="1" applyFont="1" applyFill="1" applyBorder="1" applyAlignment="1" applyProtection="1">
      <alignment horizontal="center"/>
    </xf>
    <xf numFmtId="0" fontId="11" fillId="0" borderId="5" xfId="0" applyFont="1" applyFill="1" applyBorder="1" applyAlignment="1" applyProtection="1">
      <alignment horizontal="left" wrapText="1"/>
    </xf>
    <xf numFmtId="0" fontId="22" fillId="0" borderId="2" xfId="0" applyFont="1" applyBorder="1" applyAlignment="1" applyProtection="1">
      <alignment horizontal="center"/>
    </xf>
    <xf numFmtId="2" fontId="0" fillId="7" borderId="5" xfId="0" applyNumberFormat="1" applyFill="1" applyBorder="1" applyAlignment="1" applyProtection="1">
      <alignment horizontal="center"/>
      <protection locked="0"/>
    </xf>
    <xf numFmtId="169" fontId="2" fillId="0" borderId="7" xfId="0" applyNumberFormat="1" applyFont="1" applyFill="1" applyBorder="1" applyAlignment="1" applyProtection="1">
      <alignment horizontal="left" vertical="top"/>
    </xf>
    <xf numFmtId="169" fontId="2" fillId="0" borderId="0" xfId="0" applyNumberFormat="1" applyFont="1" applyFill="1" applyBorder="1" applyAlignment="1" applyProtection="1">
      <alignment horizontal="left" vertical="top"/>
    </xf>
    <xf numFmtId="169" fontId="25" fillId="0" borderId="2" xfId="0" applyNumberFormat="1" applyFont="1" applyFill="1" applyBorder="1" applyAlignment="1" applyProtection="1">
      <alignment horizontal="left" vertical="top" wrapText="1"/>
    </xf>
    <xf numFmtId="169" fontId="25" fillId="0" borderId="0" xfId="0" applyNumberFormat="1" applyFont="1" applyFill="1" applyBorder="1" applyAlignment="1" applyProtection="1">
      <alignment horizontal="left" vertical="top" wrapText="1"/>
    </xf>
    <xf numFmtId="0" fontId="8" fillId="5" borderId="2" xfId="0" applyFont="1" applyFill="1" applyBorder="1" applyAlignment="1" applyProtection="1">
      <alignment horizontal="center" vertical="center"/>
    </xf>
    <xf numFmtId="0" fontId="8" fillId="5" borderId="6" xfId="0" applyFont="1" applyFill="1" applyBorder="1" applyAlignment="1" applyProtection="1">
      <alignment horizontal="center" vertical="center"/>
    </xf>
    <xf numFmtId="1" fontId="2" fillId="0" borderId="3" xfId="0" applyNumberFormat="1" applyFont="1" applyFill="1" applyBorder="1" applyAlignment="1" applyProtection="1">
      <alignment horizontal="center"/>
    </xf>
    <xf numFmtId="1" fontId="2" fillId="0" borderId="4" xfId="0" applyNumberFormat="1" applyFont="1" applyFill="1" applyBorder="1" applyAlignment="1" applyProtection="1">
      <alignment horizontal="center"/>
    </xf>
    <xf numFmtId="1" fontId="2" fillId="0" borderId="8" xfId="0" applyNumberFormat="1" applyFont="1" applyFill="1" applyBorder="1" applyAlignment="1" applyProtection="1">
      <alignment horizontal="center"/>
    </xf>
    <xf numFmtId="3" fontId="0" fillId="0" borderId="3" xfId="0" applyNumberFormat="1" applyFill="1" applyBorder="1" applyAlignment="1" applyProtection="1">
      <alignment horizontal="right"/>
    </xf>
    <xf numFmtId="3" fontId="0" fillId="0" borderId="4" xfId="0" applyNumberFormat="1" applyFill="1" applyBorder="1" applyAlignment="1" applyProtection="1">
      <alignment horizontal="right"/>
    </xf>
    <xf numFmtId="3" fontId="0" fillId="0" borderId="8" xfId="0" applyNumberFormat="1" applyFill="1" applyBorder="1" applyAlignment="1" applyProtection="1">
      <alignment horizontal="right"/>
    </xf>
    <xf numFmtId="0" fontId="9" fillId="0" borderId="5" xfId="0" applyFont="1" applyBorder="1" applyAlignment="1" applyProtection="1">
      <alignment horizontal="center"/>
    </xf>
    <xf numFmtId="169" fontId="0" fillId="7" borderId="12" xfId="0" applyNumberFormat="1" applyFill="1" applyBorder="1" applyAlignment="1" applyProtection="1">
      <protection locked="0"/>
    </xf>
    <xf numFmtId="172" fontId="2" fillId="0" borderId="0" xfId="546" applyNumberFormat="1" applyFont="1" applyAlignment="1" applyProtection="1">
      <alignment horizontal="center"/>
    </xf>
    <xf numFmtId="164" fontId="10" fillId="7" borderId="3" xfId="0" applyNumberFormat="1" applyFont="1" applyFill="1" applyBorder="1" applyAlignment="1" applyProtection="1">
      <alignment horizontal="left"/>
      <protection locked="0"/>
    </xf>
    <xf numFmtId="164" fontId="22" fillId="7" borderId="4" xfId="0" applyNumberFormat="1" applyFont="1" applyFill="1" applyBorder="1" applyAlignment="1" applyProtection="1">
      <alignment horizontal="left"/>
      <protection locked="0"/>
    </xf>
    <xf numFmtId="164" fontId="22" fillId="7" borderId="8" xfId="0" applyNumberFormat="1" applyFont="1" applyFill="1" applyBorder="1" applyAlignment="1" applyProtection="1">
      <alignment horizontal="left"/>
      <protection locked="0"/>
    </xf>
    <xf numFmtId="0" fontId="11" fillId="7" borderId="8" xfId="0" applyFont="1" applyFill="1" applyBorder="1" applyAlignment="1" applyProtection="1">
      <alignment horizontal="center"/>
      <protection locked="0"/>
    </xf>
    <xf numFmtId="169" fontId="11" fillId="7" borderId="9" xfId="0" applyNumberFormat="1" applyFont="1" applyFill="1" applyBorder="1" applyAlignment="1" applyProtection="1">
      <alignment horizontal="right"/>
      <protection locked="0"/>
    </xf>
    <xf numFmtId="169" fontId="11" fillId="7" borderId="5" xfId="0" applyNumberFormat="1" applyFont="1" applyFill="1" applyBorder="1" applyAlignment="1" applyProtection="1">
      <alignment horizontal="right"/>
      <protection locked="0"/>
    </xf>
    <xf numFmtId="169" fontId="11" fillId="7" borderId="10" xfId="0" applyNumberFormat="1" applyFont="1" applyFill="1" applyBorder="1" applyAlignment="1" applyProtection="1">
      <alignment horizontal="right"/>
      <protection locked="0"/>
    </xf>
    <xf numFmtId="0" fontId="2" fillId="0" borderId="0" xfId="546" applyFont="1" applyFill="1" applyAlignment="1" applyProtection="1">
      <alignment horizontal="center"/>
    </xf>
    <xf numFmtId="1" fontId="2" fillId="0" borderId="0" xfId="546" applyNumberFormat="1" applyFont="1" applyAlignment="1" applyProtection="1">
      <alignment horizontal="center"/>
    </xf>
    <xf numFmtId="169" fontId="0" fillId="0" borderId="64" xfId="0" applyNumberFormat="1" applyFill="1" applyBorder="1" applyAlignment="1" applyProtection="1">
      <alignment horizontal="right"/>
    </xf>
    <xf numFmtId="169" fontId="0" fillId="0" borderId="62" xfId="0" applyNumberFormat="1" applyFill="1" applyBorder="1" applyAlignment="1" applyProtection="1">
      <alignment horizontal="right"/>
    </xf>
    <xf numFmtId="169" fontId="0" fillId="0" borderId="12" xfId="0" applyNumberFormat="1" applyFill="1" applyBorder="1" applyAlignment="1" applyProtection="1">
      <alignment horizontal="right"/>
    </xf>
    <xf numFmtId="176" fontId="11" fillId="0" borderId="3" xfId="546" applyNumberFormat="1" applyFont="1" applyBorder="1" applyAlignment="1" applyProtection="1">
      <alignment horizontal="center" vertical="center" wrapText="1"/>
    </xf>
    <xf numFmtId="176" fontId="11" fillId="0" borderId="4" xfId="546" applyNumberFormat="1" applyFont="1" applyBorder="1" applyAlignment="1" applyProtection="1">
      <alignment horizontal="center" vertical="center" wrapText="1"/>
    </xf>
    <xf numFmtId="176" fontId="11" fillId="0" borderId="8" xfId="546" applyNumberFormat="1" applyFont="1" applyBorder="1" applyAlignment="1" applyProtection="1">
      <alignment horizontal="center" vertical="center" wrapText="1"/>
    </xf>
    <xf numFmtId="3" fontId="34" fillId="4" borderId="0" xfId="546" applyNumberFormat="1" applyFont="1" applyFill="1" applyBorder="1" applyAlignment="1" applyProtection="1">
      <alignment horizontal="left" vertical="center" wrapText="1"/>
    </xf>
    <xf numFmtId="2" fontId="2" fillId="0" borderId="12" xfId="546" applyNumberFormat="1" applyFont="1" applyBorder="1" applyAlignment="1" applyProtection="1">
      <alignment horizontal="center"/>
    </xf>
    <xf numFmtId="0" fontId="2" fillId="0" borderId="3" xfId="546" applyFont="1" applyBorder="1" applyAlignment="1" applyProtection="1">
      <alignment horizontal="center"/>
    </xf>
    <xf numFmtId="0" fontId="2" fillId="0" borderId="8" xfId="546" applyFont="1" applyBorder="1" applyAlignment="1" applyProtection="1">
      <alignment horizontal="center"/>
    </xf>
    <xf numFmtId="169" fontId="11" fillId="0" borderId="0" xfId="546" applyNumberFormat="1" applyFont="1" applyBorder="1" applyAlignment="1" applyProtection="1">
      <alignment horizontal="right" vertical="center" wrapText="1"/>
    </xf>
    <xf numFmtId="0" fontId="25" fillId="7" borderId="3" xfId="0" applyNumberFormat="1" applyFont="1" applyFill="1" applyBorder="1" applyAlignment="1" applyProtection="1">
      <alignment horizontal="right"/>
      <protection locked="0"/>
    </xf>
    <xf numFmtId="0" fontId="25" fillId="7" borderId="4" xfId="0" applyNumberFormat="1" applyFont="1" applyFill="1" applyBorder="1" applyAlignment="1" applyProtection="1">
      <alignment horizontal="right"/>
      <protection locked="0"/>
    </xf>
    <xf numFmtId="0" fontId="25" fillId="7" borderId="8" xfId="0" applyNumberFormat="1" applyFont="1" applyFill="1" applyBorder="1" applyAlignment="1" applyProtection="1">
      <alignment horizontal="right"/>
      <protection locked="0"/>
    </xf>
    <xf numFmtId="0" fontId="0" fillId="7" borderId="3" xfId="0" applyFill="1" applyBorder="1" applyAlignment="1" applyProtection="1">
      <alignment horizontal="right"/>
      <protection locked="0"/>
    </xf>
    <xf numFmtId="0" fontId="0" fillId="7" borderId="8" xfId="0" applyFill="1" applyBorder="1" applyAlignment="1" applyProtection="1">
      <alignment horizontal="right"/>
      <protection locked="0"/>
    </xf>
    <xf numFmtId="169" fontId="2" fillId="7" borderId="3" xfId="0" applyNumberFormat="1" applyFont="1" applyFill="1" applyBorder="1" applyAlignment="1" applyProtection="1">
      <alignment horizontal="right"/>
      <protection locked="0"/>
    </xf>
    <xf numFmtId="169" fontId="2" fillId="7" borderId="4" xfId="0" applyNumberFormat="1" applyFont="1" applyFill="1" applyBorder="1" applyAlignment="1" applyProtection="1">
      <alignment horizontal="right"/>
      <protection locked="0"/>
    </xf>
    <xf numFmtId="0" fontId="25" fillId="7" borderId="3" xfId="0" applyNumberFormat="1" applyFont="1" applyFill="1" applyBorder="1" applyAlignment="1" applyProtection="1">
      <alignment horizontal="center"/>
      <protection locked="0"/>
    </xf>
    <xf numFmtId="0" fontId="25" fillId="7" borderId="4" xfId="0" applyNumberFormat="1" applyFont="1" applyFill="1" applyBorder="1" applyAlignment="1" applyProtection="1">
      <alignment horizontal="center"/>
      <protection locked="0"/>
    </xf>
    <xf numFmtId="0" fontId="25" fillId="7" borderId="8" xfId="0" applyNumberFormat="1" applyFont="1" applyFill="1" applyBorder="1" applyAlignment="1" applyProtection="1">
      <alignment horizontal="center"/>
      <protection locked="0"/>
    </xf>
    <xf numFmtId="49" fontId="0" fillId="7" borderId="3" xfId="0" applyNumberFormat="1" applyFill="1" applyBorder="1" applyAlignment="1" applyProtection="1">
      <alignment horizontal="right"/>
      <protection locked="0"/>
    </xf>
    <xf numFmtId="49" fontId="0" fillId="7" borderId="4" xfId="0" applyNumberFormat="1" applyFill="1" applyBorder="1" applyAlignment="1" applyProtection="1">
      <alignment horizontal="right"/>
      <protection locked="0"/>
    </xf>
    <xf numFmtId="49" fontId="0" fillId="7" borderId="8" xfId="0" applyNumberFormat="1" applyFill="1" applyBorder="1" applyAlignment="1" applyProtection="1">
      <alignment horizontal="right"/>
      <protection locked="0"/>
    </xf>
    <xf numFmtId="2" fontId="2" fillId="0" borderId="3" xfId="546" applyNumberFormat="1" applyFont="1" applyBorder="1" applyAlignment="1" applyProtection="1">
      <alignment horizontal="center"/>
    </xf>
    <xf numFmtId="2" fontId="2" fillId="0" borderId="8" xfId="546" applyNumberFormat="1" applyFont="1" applyBorder="1" applyAlignment="1" applyProtection="1">
      <alignment horizontal="center"/>
    </xf>
    <xf numFmtId="172" fontId="2" fillId="0" borderId="3" xfId="546" applyNumberFormat="1" applyFont="1" applyBorder="1" applyAlignment="1" applyProtection="1">
      <alignment horizontal="center"/>
    </xf>
    <xf numFmtId="172" fontId="2" fillId="0" borderId="4" xfId="546" applyNumberFormat="1" applyFont="1" applyBorder="1" applyAlignment="1" applyProtection="1">
      <alignment horizontal="center"/>
    </xf>
    <xf numFmtId="172" fontId="2" fillId="0" borderId="8" xfId="546" applyNumberFormat="1" applyFont="1" applyBorder="1" applyAlignment="1" applyProtection="1">
      <alignment horizontal="center"/>
    </xf>
    <xf numFmtId="9" fontId="2" fillId="0" borderId="7" xfId="546" applyNumberFormat="1" applyFont="1" applyBorder="1" applyAlignment="1" applyProtection="1">
      <alignment horizontal="center"/>
    </xf>
    <xf numFmtId="9" fontId="2" fillId="0" borderId="0" xfId="546" applyNumberFormat="1" applyFont="1" applyBorder="1" applyAlignment="1" applyProtection="1">
      <alignment horizontal="center"/>
    </xf>
    <xf numFmtId="0" fontId="2" fillId="0" borderId="12" xfId="546" applyFont="1" applyBorder="1" applyAlignment="1" applyProtection="1">
      <alignment horizontal="center"/>
    </xf>
    <xf numFmtId="0" fontId="2" fillId="0" borderId="9" xfId="546" applyFont="1" applyBorder="1" applyAlignment="1" applyProtection="1">
      <alignment horizontal="left" vertical="center" wrapText="1"/>
    </xf>
    <xf numFmtId="0" fontId="2" fillId="0" borderId="5" xfId="546" applyFont="1" applyBorder="1" applyAlignment="1" applyProtection="1">
      <alignment horizontal="left" vertical="center" wrapText="1"/>
    </xf>
    <xf numFmtId="0" fontId="2" fillId="0" borderId="10" xfId="546" applyFont="1" applyBorder="1" applyAlignment="1" applyProtection="1">
      <alignment horizontal="left" vertical="center" wrapText="1"/>
    </xf>
    <xf numFmtId="3" fontId="0" fillId="0" borderId="5" xfId="0" applyNumberFormat="1" applyFill="1" applyBorder="1" applyAlignment="1" applyProtection="1">
      <alignment horizontal="right"/>
    </xf>
    <xf numFmtId="0" fontId="11" fillId="7" borderId="0" xfId="0" applyFont="1" applyFill="1" applyBorder="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14" fontId="0" fillId="7" borderId="3" xfId="0" applyNumberFormat="1" applyFill="1" applyBorder="1" applyAlignment="1" applyProtection="1">
      <alignment horizontal="right"/>
      <protection locked="0"/>
    </xf>
    <xf numFmtId="0" fontId="0" fillId="0" borderId="5" xfId="0" applyBorder="1" applyAlignment="1" applyProtection="1">
      <protection locked="0"/>
    </xf>
    <xf numFmtId="0" fontId="0" fillId="7" borderId="5" xfId="0" applyFill="1" applyBorder="1" applyProtection="1">
      <protection locked="0"/>
    </xf>
    <xf numFmtId="175" fontId="0" fillId="7" borderId="4" xfId="0" applyNumberFormat="1" applyFill="1" applyBorder="1" applyAlignment="1" applyProtection="1">
      <alignment horizontal="left"/>
      <protection locked="0"/>
    </xf>
    <xf numFmtId="174" fontId="0" fillId="7" borderId="5" xfId="0" applyNumberFormat="1" applyFill="1" applyBorder="1" applyAlignment="1" applyProtection="1">
      <alignment horizontal="center"/>
      <protection locked="0"/>
    </xf>
    <xf numFmtId="0" fontId="3" fillId="0" borderId="0" xfId="245" applyFill="1" applyAlignment="1" applyProtection="1">
      <alignment horizontal="left"/>
      <protection locked="0"/>
    </xf>
    <xf numFmtId="0" fontId="2" fillId="7" borderId="5" xfId="0" applyFont="1" applyFill="1" applyBorder="1" applyAlignment="1" applyProtection="1">
      <alignment horizontal="left" vertical="top" wrapText="1"/>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0" fontId="11" fillId="0" borderId="4" xfId="0" applyFont="1" applyFill="1" applyBorder="1" applyAlignment="1" applyProtection="1">
      <alignment horizontal="left"/>
      <protection locked="0"/>
    </xf>
    <xf numFmtId="0" fontId="0" fillId="7" borderId="3" xfId="0" applyNumberFormat="1" applyFont="1" applyFill="1" applyBorder="1" applyAlignment="1" applyProtection="1">
      <alignment horizontal="right"/>
      <protection locked="0"/>
    </xf>
    <xf numFmtId="0" fontId="2" fillId="7" borderId="4" xfId="0" applyNumberFormat="1" applyFont="1" applyFill="1" applyBorder="1" applyAlignment="1" applyProtection="1">
      <alignment horizontal="right"/>
      <protection locked="0"/>
    </xf>
    <xf numFmtId="0" fontId="2" fillId="7" borderId="8" xfId="0" applyNumberFormat="1" applyFont="1" applyFill="1" applyBorder="1" applyAlignment="1" applyProtection="1">
      <alignment horizontal="right"/>
      <protection locked="0"/>
    </xf>
    <xf numFmtId="169" fontId="0" fillId="0" borderId="3" xfId="0" applyNumberFormat="1" applyFill="1" applyBorder="1" applyAlignment="1" applyProtection="1"/>
    <xf numFmtId="169" fontId="0" fillId="0" borderId="4" xfId="0" applyNumberFormat="1" applyFill="1" applyBorder="1" applyAlignment="1" applyProtection="1"/>
    <xf numFmtId="169" fontId="0" fillId="0" borderId="8" xfId="0" applyNumberFormat="1" applyFill="1" applyBorder="1" applyAlignment="1" applyProtection="1"/>
    <xf numFmtId="0" fontId="9" fillId="0" borderId="63" xfId="0" applyFont="1" applyBorder="1" applyAlignment="1" applyProtection="1">
      <alignment horizontal="right"/>
    </xf>
    <xf numFmtId="0" fontId="9" fillId="0" borderId="14" xfId="0" applyFont="1" applyBorder="1" applyAlignment="1" applyProtection="1">
      <alignment horizontal="right"/>
    </xf>
    <xf numFmtId="0" fontId="9" fillId="0" borderId="64" xfId="0" applyFont="1" applyBorder="1" applyAlignment="1" applyProtection="1">
      <alignment horizontal="right"/>
    </xf>
    <xf numFmtId="0" fontId="2" fillId="0" borderId="12" xfId="0" applyFont="1" applyFill="1" applyBorder="1" applyAlignment="1" applyProtection="1">
      <alignment horizontal="center"/>
    </xf>
    <xf numFmtId="0" fontId="11" fillId="0" borderId="5" xfId="0" applyFont="1" applyBorder="1" applyAlignment="1" applyProtection="1">
      <alignment horizontal="left"/>
    </xf>
    <xf numFmtId="169" fontId="0" fillId="0" borderId="12" xfId="0" applyNumberFormat="1" applyFill="1" applyBorder="1" applyAlignment="1" applyProtection="1"/>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0" fontId="0" fillId="53" borderId="3" xfId="0" applyFill="1" applyBorder="1" applyAlignment="1" applyProtection="1">
      <alignment horizontal="center"/>
      <protection locked="0"/>
    </xf>
    <xf numFmtId="0" fontId="0" fillId="53" borderId="4" xfId="0" applyFill="1" applyBorder="1" applyAlignment="1" applyProtection="1">
      <alignment horizontal="center"/>
      <protection locked="0"/>
    </xf>
    <xf numFmtId="0" fontId="0" fillId="53" borderId="8" xfId="0" applyFill="1" applyBorder="1" applyAlignment="1" applyProtection="1">
      <alignment horizontal="center"/>
      <protection locked="0"/>
    </xf>
    <xf numFmtId="179" fontId="2" fillId="7" borderId="4" xfId="0" applyNumberFormat="1" applyFont="1" applyFill="1" applyBorder="1" applyAlignment="1" applyProtection="1">
      <alignment horizontal="right"/>
      <protection locked="0"/>
    </xf>
    <xf numFmtId="0" fontId="22" fillId="7" borderId="3" xfId="546" applyFont="1" applyFill="1" applyBorder="1" applyAlignment="1" applyProtection="1">
      <alignment horizontal="center"/>
    </xf>
    <xf numFmtId="0" fontId="22" fillId="7" borderId="4" xfId="546" applyFont="1" applyFill="1" applyBorder="1" applyAlignment="1" applyProtection="1">
      <alignment horizontal="center"/>
    </xf>
    <xf numFmtId="0" fontId="22" fillId="7" borderId="8" xfId="546" applyFont="1" applyFill="1" applyBorder="1" applyAlignment="1" applyProtection="1">
      <alignment horizontal="center"/>
    </xf>
    <xf numFmtId="49" fontId="2" fillId="7" borderId="3" xfId="546" applyNumberFormat="1" applyFont="1" applyFill="1" applyBorder="1" applyAlignment="1" applyProtection="1">
      <alignment horizontal="center"/>
    </xf>
    <xf numFmtId="49" fontId="2" fillId="7" borderId="8" xfId="546" applyNumberFormat="1" applyFont="1" applyFill="1" applyBorder="1" applyAlignment="1" applyProtection="1">
      <alignment horizontal="center"/>
    </xf>
    <xf numFmtId="0" fontId="9" fillId="0" borderId="0" xfId="546" applyNumberFormat="1" applyFont="1" applyBorder="1" applyAlignment="1" applyProtection="1">
      <alignment horizontal="left" vertical="center" wrapText="1"/>
    </xf>
    <xf numFmtId="0" fontId="9" fillId="0" borderId="6" xfId="0" applyFont="1" applyFill="1" applyBorder="1" applyAlignment="1" applyProtection="1">
      <alignment horizontal="center"/>
    </xf>
    <xf numFmtId="169" fontId="0" fillId="48" borderId="3" xfId="0" applyNumberFormat="1" applyFill="1" applyBorder="1" applyAlignment="1" applyProtection="1">
      <alignment horizontal="right"/>
    </xf>
    <xf numFmtId="169" fontId="0" fillId="48" borderId="4" xfId="0" applyNumberFormat="1" applyFill="1" applyBorder="1" applyAlignment="1" applyProtection="1">
      <alignment horizontal="right"/>
    </xf>
    <xf numFmtId="169" fontId="0" fillId="48" borderId="8" xfId="0" applyNumberFormat="1" applyFill="1" applyBorder="1" applyAlignment="1" applyProtection="1">
      <alignment horizontal="right"/>
    </xf>
    <xf numFmtId="164" fontId="22" fillId="7" borderId="3" xfId="0" applyNumberFormat="1" applyFont="1" applyFill="1" applyBorder="1" applyAlignment="1" applyProtection="1">
      <alignment horizontal="left"/>
      <protection locked="0"/>
    </xf>
    <xf numFmtId="169" fontId="2" fillId="7" borderId="9" xfId="0" applyNumberFormat="1" applyFont="1" applyFill="1" applyBorder="1" applyAlignment="1" applyProtection="1">
      <alignment horizontal="right"/>
      <protection locked="0"/>
    </xf>
    <xf numFmtId="0" fontId="0" fillId="0" borderId="5" xfId="0" applyBorder="1" applyProtection="1">
      <protection locked="0"/>
    </xf>
    <xf numFmtId="0" fontId="0" fillId="0" borderId="10" xfId="0" applyBorder="1" applyProtection="1">
      <protection locked="0"/>
    </xf>
    <xf numFmtId="1" fontId="0" fillId="7" borderId="4" xfId="0" applyNumberFormat="1" applyFill="1" applyBorder="1" applyAlignment="1" applyProtection="1">
      <alignment horizontal="center" vertical="top" wrapText="1"/>
      <protection locked="0"/>
    </xf>
    <xf numFmtId="169" fontId="10" fillId="0" borderId="0" xfId="0" applyNumberFormat="1" applyFont="1" applyFill="1" applyBorder="1" applyAlignment="1" applyProtection="1">
      <alignment horizontal="left" vertical="top" wrapText="1"/>
    </xf>
    <xf numFmtId="14" fontId="0" fillId="7" borderId="5" xfId="0" applyNumberFormat="1" applyFill="1" applyBorder="1" applyAlignment="1" applyProtection="1">
      <alignment horizontal="center"/>
      <protection locked="0"/>
    </xf>
    <xf numFmtId="0" fontId="11" fillId="0" borderId="2" xfId="0" applyFont="1" applyBorder="1" applyAlignment="1" applyProtection="1">
      <alignment horizontal="left" vertical="top" wrapText="1"/>
    </xf>
    <xf numFmtId="0" fontId="11" fillId="0" borderId="2" xfId="0" applyFont="1" applyBorder="1" applyAlignment="1">
      <alignment horizontal="left" vertical="top" wrapText="1"/>
    </xf>
    <xf numFmtId="178" fontId="11" fillId="7" borderId="5" xfId="0" applyNumberFormat="1" applyFont="1" applyFill="1" applyBorder="1" applyAlignment="1" applyProtection="1">
      <alignment horizontal="left" vertical="top" wrapText="1"/>
      <protection locked="0"/>
    </xf>
    <xf numFmtId="0" fontId="46" fillId="0" borderId="0" xfId="0" applyFont="1" applyBorder="1" applyAlignment="1" applyProtection="1">
      <alignment vertical="top" wrapText="1"/>
    </xf>
    <xf numFmtId="0" fontId="0" fillId="0" borderId="0" xfId="0" applyAlignment="1">
      <alignment vertical="top" wrapText="1"/>
    </xf>
    <xf numFmtId="0" fontId="11" fillId="0" borderId="0" xfId="0" applyFont="1" applyBorder="1" applyAlignment="1" applyProtection="1">
      <alignment vertical="top" wrapText="1"/>
    </xf>
    <xf numFmtId="0" fontId="11" fillId="0" borderId="5" xfId="0" applyFont="1" applyFill="1" applyBorder="1" applyAlignment="1" applyProtection="1">
      <alignment horizontal="right" vertical="top" wrapText="1"/>
    </xf>
    <xf numFmtId="0" fontId="11" fillId="0" borderId="5" xfId="0" applyFont="1" applyFill="1" applyBorder="1" applyAlignment="1">
      <alignment vertical="top" wrapText="1"/>
    </xf>
    <xf numFmtId="0" fontId="50" fillId="2" borderId="3" xfId="0" applyFont="1" applyFill="1" applyBorder="1" applyAlignment="1" applyProtection="1">
      <alignment horizontal="center" vertical="top"/>
    </xf>
    <xf numFmtId="0" fontId="50" fillId="2" borderId="4" xfId="0" applyFont="1" applyFill="1" applyBorder="1" applyAlignment="1" applyProtection="1">
      <alignment horizontal="center" vertical="top"/>
    </xf>
    <xf numFmtId="0" fontId="50" fillId="2" borderId="8" xfId="0" applyFont="1" applyFill="1" applyBorder="1" applyAlignment="1" applyProtection="1">
      <alignment horizontal="center" vertical="top"/>
    </xf>
    <xf numFmtId="0" fontId="11" fillId="0" borderId="5" xfId="0" applyFont="1" applyBorder="1" applyAlignment="1" applyProtection="1">
      <alignment vertical="top" wrapText="1"/>
    </xf>
    <xf numFmtId="0" fontId="11" fillId="0" borderId="2" xfId="0" applyFont="1" applyBorder="1" applyAlignment="1" applyProtection="1">
      <alignment vertical="top" wrapText="1"/>
    </xf>
    <xf numFmtId="0" fontId="25" fillId="0" borderId="0" xfId="0" applyFont="1" applyBorder="1" applyAlignment="1" applyProtection="1">
      <alignment vertical="top" wrapText="1"/>
    </xf>
    <xf numFmtId="0" fontId="8" fillId="5" borderId="3" xfId="0" applyFont="1" applyFill="1" applyBorder="1" applyAlignment="1" applyProtection="1">
      <alignment horizontal="left" vertical="top"/>
    </xf>
    <xf numFmtId="0" fontId="8" fillId="5" borderId="4" xfId="0" applyFont="1" applyFill="1" applyBorder="1" applyAlignment="1" applyProtection="1">
      <alignment horizontal="left" vertical="top"/>
    </xf>
    <xf numFmtId="0" fontId="8" fillId="5" borderId="8" xfId="0" applyFont="1" applyFill="1" applyBorder="1" applyAlignment="1" applyProtection="1">
      <alignment horizontal="left" vertical="top"/>
    </xf>
    <xf numFmtId="0" fontId="9" fillId="0" borderId="3" xfId="0" applyFont="1" applyBorder="1" applyAlignment="1">
      <alignment horizontal="right"/>
    </xf>
    <xf numFmtId="0" fontId="9" fillId="0" borderId="4" xfId="0" applyFont="1" applyBorder="1" applyAlignment="1">
      <alignment horizontal="right"/>
    </xf>
    <xf numFmtId="0" fontId="9" fillId="0" borderId="8" xfId="0" applyFont="1" applyBorder="1" applyAlignment="1">
      <alignment horizontal="right"/>
    </xf>
    <xf numFmtId="0" fontId="10" fillId="0" borderId="3" xfId="0" applyFont="1" applyBorder="1" applyAlignment="1">
      <alignment horizontal="right"/>
    </xf>
    <xf numFmtId="0" fontId="10" fillId="0" borderId="4" xfId="0" applyFont="1" applyBorder="1" applyAlignment="1">
      <alignment horizontal="right"/>
    </xf>
    <xf numFmtId="0" fontId="10" fillId="0" borderId="8" xfId="0" applyFont="1" applyBorder="1" applyAlignment="1">
      <alignment horizontal="right"/>
    </xf>
    <xf numFmtId="0" fontId="22" fillId="0" borderId="3" xfId="0" applyFont="1" applyBorder="1" applyAlignment="1">
      <alignment horizontal="right"/>
    </xf>
    <xf numFmtId="0" fontId="22" fillId="0" borderId="4" xfId="0" applyFont="1" applyBorder="1" applyAlignment="1">
      <alignment horizontal="right"/>
    </xf>
    <xf numFmtId="0" fontId="22" fillId="0" borderId="8" xfId="0" applyFont="1" applyBorder="1" applyAlignment="1">
      <alignment horizontal="right"/>
    </xf>
    <xf numFmtId="9" fontId="0" fillId="0" borderId="8" xfId="0" applyNumberFormat="1" applyFill="1" applyBorder="1" applyAlignment="1" applyProtection="1">
      <alignment horizontal="center"/>
    </xf>
    <xf numFmtId="9" fontId="0" fillId="0" borderId="12" xfId="0" applyNumberFormat="1" applyFill="1" applyBorder="1" applyAlignment="1" applyProtection="1">
      <alignment horizontal="center"/>
    </xf>
    <xf numFmtId="0" fontId="9" fillId="0" borderId="3" xfId="0" applyFont="1" applyFill="1" applyBorder="1" applyAlignment="1">
      <alignment horizontal="right"/>
    </xf>
    <xf numFmtId="0" fontId="9" fillId="0" borderId="4" xfId="0" applyFont="1" applyFill="1" applyBorder="1" applyAlignment="1">
      <alignment horizontal="right"/>
    </xf>
    <xf numFmtId="0" fontId="9" fillId="0" borderId="8" xfId="0" applyFont="1" applyFill="1" applyBorder="1" applyAlignment="1">
      <alignment horizontal="right"/>
    </xf>
    <xf numFmtId="169" fontId="0" fillId="0" borderId="3" xfId="0" applyNumberFormat="1" applyFill="1" applyBorder="1" applyAlignment="1">
      <alignment horizontal="center"/>
    </xf>
    <xf numFmtId="169" fontId="0" fillId="0" borderId="4" xfId="0" applyNumberFormat="1" applyFill="1" applyBorder="1" applyAlignment="1">
      <alignment horizontal="center"/>
    </xf>
    <xf numFmtId="169" fontId="0" fillId="0" borderId="8" xfId="0" applyNumberFormat="1" applyFill="1" applyBorder="1" applyAlignment="1">
      <alignment horizontal="center"/>
    </xf>
    <xf numFmtId="5" fontId="0" fillId="0" borderId="8" xfId="0" applyNumberFormat="1" applyFill="1" applyBorder="1" applyAlignment="1">
      <alignment horizontal="center"/>
    </xf>
    <xf numFmtId="5" fontId="0" fillId="0" borderId="12" xfId="0" applyNumberFormat="1" applyFill="1" applyBorder="1" applyAlignment="1">
      <alignment horizontal="center"/>
    </xf>
    <xf numFmtId="169" fontId="2" fillId="0" borderId="12" xfId="0" applyNumberFormat="1" applyFont="1" applyFill="1" applyBorder="1" applyAlignment="1" applyProtection="1">
      <alignment horizontal="center"/>
    </xf>
    <xf numFmtId="169" fontId="0" fillId="0" borderId="12" xfId="0" applyNumberFormat="1" applyFill="1" applyBorder="1" applyAlignment="1">
      <alignment horizontal="center"/>
    </xf>
    <xf numFmtId="169" fontId="2" fillId="0" borderId="8" xfId="0" applyNumberFormat="1" applyFont="1" applyFill="1" applyBorder="1" applyAlignment="1">
      <alignment horizontal="center"/>
    </xf>
    <xf numFmtId="169" fontId="2" fillId="0" borderId="12" xfId="0" applyNumberFormat="1" applyFont="1" applyFill="1" applyBorder="1" applyAlignment="1">
      <alignment horizontal="center"/>
    </xf>
    <xf numFmtId="9" fontId="0" fillId="0" borderId="9" xfId="0" applyNumberFormat="1" applyFill="1" applyBorder="1" applyAlignment="1">
      <alignment horizontal="center" vertical="center"/>
    </xf>
    <xf numFmtId="9" fontId="0" fillId="0" borderId="5" xfId="0" applyNumberFormat="1" applyFill="1" applyBorder="1" applyAlignment="1">
      <alignment horizontal="center" vertical="center"/>
    </xf>
    <xf numFmtId="9" fontId="0" fillId="0" borderId="10" xfId="0" applyNumberFormat="1" applyFill="1" applyBorder="1" applyAlignment="1">
      <alignment horizontal="center" vertical="center"/>
    </xf>
    <xf numFmtId="0" fontId="9" fillId="0" borderId="12" xfId="0" applyFont="1" applyBorder="1" applyAlignment="1">
      <alignment horizontal="center" wrapText="1"/>
    </xf>
    <xf numFmtId="169" fontId="0" fillId="0" borderId="18" xfId="0" applyNumberFormat="1" applyFill="1" applyBorder="1" applyAlignment="1">
      <alignment horizontal="center"/>
    </xf>
    <xf numFmtId="5" fontId="0" fillId="0" borderId="3" xfId="0" applyNumberFormat="1" applyFill="1" applyBorder="1" applyAlignment="1">
      <alignment horizontal="center"/>
    </xf>
    <xf numFmtId="5" fontId="0" fillId="0" borderId="4" xfId="0" applyNumberFormat="1" applyFill="1" applyBorder="1" applyAlignment="1">
      <alignment horizontal="center"/>
    </xf>
    <xf numFmtId="0" fontId="9" fillId="0" borderId="3" xfId="0" applyFont="1" applyFill="1" applyBorder="1" applyAlignment="1">
      <alignment horizontal="left"/>
    </xf>
    <xf numFmtId="0" fontId="9" fillId="0" borderId="4" xfId="0" applyFont="1" applyFill="1" applyBorder="1" applyAlignment="1">
      <alignment horizontal="left"/>
    </xf>
    <xf numFmtId="0" fontId="9" fillId="0" borderId="8" xfId="0" applyFont="1" applyFill="1" applyBorder="1" applyAlignment="1">
      <alignment horizontal="left"/>
    </xf>
    <xf numFmtId="0" fontId="10" fillId="0" borderId="4" xfId="0" applyFont="1" applyBorder="1" applyAlignment="1">
      <alignment horizontal="left"/>
    </xf>
    <xf numFmtId="0" fontId="22" fillId="0" borderId="4" xfId="0" applyFont="1" applyBorder="1" applyAlignment="1">
      <alignment horizontal="left"/>
    </xf>
    <xf numFmtId="0" fontId="22" fillId="0" borderId="8" xfId="0" applyFont="1" applyBorder="1" applyAlignment="1">
      <alignment horizontal="left"/>
    </xf>
    <xf numFmtId="0" fontId="10" fillId="0" borderId="8" xfId="0" applyFont="1" applyBorder="1" applyAlignment="1">
      <alignment horizontal="left"/>
    </xf>
    <xf numFmtId="169" fontId="0" fillId="0" borderId="11" xfId="0" applyNumberFormat="1" applyFill="1" applyBorder="1" applyAlignment="1">
      <alignment horizontal="center"/>
    </xf>
    <xf numFmtId="169" fontId="0" fillId="7" borderId="10" xfId="0" applyNumberFormat="1" applyFill="1" applyBorder="1" applyAlignment="1" applyProtection="1">
      <alignment horizontal="center"/>
      <protection locked="0"/>
    </xf>
    <xf numFmtId="169" fontId="0" fillId="7" borderId="15" xfId="0" applyNumberFormat="1" applyFill="1" applyBorder="1" applyAlignment="1" applyProtection="1">
      <alignment horizontal="center"/>
      <protection locked="0"/>
    </xf>
    <xf numFmtId="169" fontId="0" fillId="2" borderId="3" xfId="0" applyNumberFormat="1" applyFill="1" applyBorder="1" applyAlignment="1" applyProtection="1">
      <alignment horizontal="center"/>
    </xf>
    <xf numFmtId="169" fontId="0" fillId="2" borderId="4" xfId="0" applyNumberFormat="1" applyFill="1" applyBorder="1" applyAlignment="1" applyProtection="1">
      <alignment horizontal="center"/>
    </xf>
    <xf numFmtId="169" fontId="0" fillId="2" borderId="8" xfId="0" applyNumberFormat="1" applyFill="1" applyBorder="1" applyAlignment="1" applyProtection="1">
      <alignment horizontal="center"/>
    </xf>
    <xf numFmtId="0" fontId="8" fillId="5" borderId="2" xfId="0" applyFont="1" applyFill="1" applyBorder="1" applyAlignment="1">
      <alignment horizontal="center" vertical="center" wrapText="1"/>
    </xf>
    <xf numFmtId="0" fontId="8" fillId="5" borderId="2" xfId="0" applyFont="1" applyFill="1" applyBorder="1" applyAlignment="1">
      <alignment horizontal="center" vertical="center"/>
    </xf>
    <xf numFmtId="0" fontId="8" fillId="5" borderId="6" xfId="0" applyFont="1" applyFill="1" applyBorder="1" applyAlignment="1">
      <alignment horizontal="center" vertical="center"/>
    </xf>
    <xf numFmtId="169" fontId="2" fillId="0" borderId="11" xfId="0" applyNumberFormat="1" applyFont="1" applyFill="1" applyBorder="1" applyAlignment="1">
      <alignment horizontal="center"/>
    </xf>
    <xf numFmtId="169" fontId="0" fillId="0" borderId="12" xfId="0" applyNumberFormat="1" applyFill="1" applyBorder="1" applyAlignment="1">
      <alignment horizontal="right"/>
    </xf>
    <xf numFmtId="169" fontId="0" fillId="0" borderId="12" xfId="0" applyNumberFormat="1" applyFill="1" applyBorder="1" applyAlignment="1">
      <alignment wrapText="1"/>
    </xf>
    <xf numFmtId="169" fontId="0" fillId="0" borderId="3" xfId="0" applyNumberFormat="1" applyFill="1" applyBorder="1" applyAlignment="1"/>
    <xf numFmtId="169" fontId="0" fillId="0" borderId="4" xfId="0" applyNumberFormat="1" applyFill="1" applyBorder="1" applyAlignment="1"/>
    <xf numFmtId="169" fontId="0" fillId="0" borderId="8" xfId="0" applyNumberFormat="1" applyFill="1" applyBorder="1" applyAlignment="1"/>
    <xf numFmtId="169" fontId="0" fillId="0" borderId="12" xfId="0" applyNumberFormat="1" applyFill="1" applyBorder="1" applyAlignment="1"/>
    <xf numFmtId="9" fontId="0" fillId="0" borderId="18" xfId="0" applyNumberFormat="1" applyFill="1" applyBorder="1" applyAlignment="1" applyProtection="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169" fontId="0" fillId="0" borderId="12" xfId="0" applyNumberFormat="1" applyBorder="1" applyAlignment="1">
      <alignment horizontal="center"/>
    </xf>
    <xf numFmtId="0" fontId="76" fillId="0" borderId="0" xfId="0" applyFont="1" applyFill="1" applyBorder="1" applyAlignment="1">
      <alignment horizontal="left" vertical="top" wrapText="1"/>
    </xf>
    <xf numFmtId="0" fontId="25" fillId="0" borderId="2" xfId="0" applyNumberFormat="1" applyFont="1" applyBorder="1" applyAlignment="1">
      <alignment horizontal="left" vertical="top"/>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xf numFmtId="169" fontId="0" fillId="0" borderId="3" xfId="0" applyNumberFormat="1" applyFill="1" applyBorder="1" applyAlignment="1">
      <alignment horizontal="right"/>
    </xf>
    <xf numFmtId="169" fontId="0" fillId="0" borderId="4" xfId="0" applyNumberFormat="1" applyFill="1" applyBorder="1" applyAlignment="1">
      <alignment horizontal="right"/>
    </xf>
    <xf numFmtId="169" fontId="0" fillId="0" borderId="8" xfId="0" applyNumberFormat="1" applyFill="1" applyBorder="1" applyAlignment="1">
      <alignment horizontal="right"/>
    </xf>
    <xf numFmtId="0" fontId="76" fillId="0" borderId="0" xfId="0" applyFont="1" applyBorder="1" applyAlignment="1">
      <alignment horizontal="left" wrapText="1"/>
    </xf>
    <xf numFmtId="0" fontId="10" fillId="0" borderId="2" xfId="0" applyFont="1" applyBorder="1" applyAlignment="1">
      <alignment horizontal="left"/>
    </xf>
    <xf numFmtId="0" fontId="10" fillId="0" borderId="0" xfId="0" applyFont="1" applyBorder="1" applyAlignment="1">
      <alignment horizontal="left"/>
    </xf>
    <xf numFmtId="0" fontId="9" fillId="0" borderId="12" xfId="0" applyFont="1" applyBorder="1" applyAlignment="1">
      <alignment horizontal="center"/>
    </xf>
    <xf numFmtId="0" fontId="9" fillId="0" borderId="6" xfId="0" applyFont="1" applyFill="1" applyBorder="1" applyAlignment="1">
      <alignment horizontal="center" wrapText="1"/>
    </xf>
    <xf numFmtId="0" fontId="25" fillId="0" borderId="0" xfId="0" applyFont="1" applyAlignment="1">
      <alignment horizontal="left" vertical="center" wrapText="1"/>
    </xf>
    <xf numFmtId="0" fontId="9" fillId="0" borderId="0" xfId="0" applyFont="1" applyFill="1" applyBorder="1" applyAlignment="1">
      <alignment horizontal="center" wrapText="1"/>
    </xf>
    <xf numFmtId="0" fontId="9" fillId="0" borderId="0" xfId="0" applyFont="1" applyBorder="1" applyAlignment="1">
      <alignment horizontal="center"/>
    </xf>
    <xf numFmtId="10" fontId="0" fillId="0" borderId="12" xfId="0" applyNumberFormat="1" applyFill="1" applyBorder="1" applyAlignment="1" applyProtection="1">
      <alignment horizontal="center"/>
      <protection locked="0"/>
    </xf>
    <xf numFmtId="169" fontId="0" fillId="0" borderId="3" xfId="0" applyNumberFormat="1" applyBorder="1" applyAlignment="1">
      <alignment horizontal="center"/>
    </xf>
    <xf numFmtId="169" fontId="0" fillId="0" borderId="4" xfId="0" applyNumberFormat="1" applyBorder="1" applyAlignment="1">
      <alignment horizontal="center"/>
    </xf>
    <xf numFmtId="169" fontId="0" fillId="0" borderId="8" xfId="0" applyNumberFormat="1" applyBorder="1" applyAlignment="1">
      <alignment horizontal="center"/>
    </xf>
    <xf numFmtId="0" fontId="11" fillId="0" borderId="13" xfId="0" applyFont="1" applyFill="1" applyBorder="1" applyAlignment="1" applyProtection="1">
      <alignment horizontal="left" vertical="top" wrapText="1"/>
    </xf>
    <xf numFmtId="166" fontId="10" fillId="47" borderId="12" xfId="0" applyNumberFormat="1" applyFont="1" applyFill="1" applyBorder="1" applyAlignment="1" applyProtection="1">
      <alignment horizontal="center"/>
    </xf>
    <xf numFmtId="166" fontId="10" fillId="0" borderId="12" xfId="0" applyNumberFormat="1" applyFont="1" applyFill="1" applyBorder="1" applyAlignment="1" applyProtection="1">
      <alignment horizontal="center"/>
    </xf>
    <xf numFmtId="1" fontId="10" fillId="0" borderId="12" xfId="0" applyNumberFormat="1" applyFont="1" applyFill="1" applyBorder="1" applyAlignment="1" applyProtection="1">
      <alignment horizontal="center"/>
    </xf>
    <xf numFmtId="166" fontId="10" fillId="0" borderId="8" xfId="0" applyNumberFormat="1" applyFont="1" applyFill="1" applyBorder="1" applyAlignment="1" applyProtection="1">
      <alignment horizontal="center"/>
    </xf>
    <xf numFmtId="166" fontId="10" fillId="0" borderId="24" xfId="0" applyNumberFormat="1" applyFont="1" applyFill="1" applyBorder="1" applyAlignment="1" applyProtection="1">
      <alignment horizontal="center"/>
    </xf>
    <xf numFmtId="166" fontId="10" fillId="0" borderId="45" xfId="0" applyNumberFormat="1" applyFont="1" applyFill="1" applyBorder="1" applyAlignment="1" applyProtection="1">
      <alignment horizontal="center"/>
    </xf>
    <xf numFmtId="166" fontId="10" fillId="0" borderId="28" xfId="0" applyNumberFormat="1" applyFont="1" applyFill="1" applyBorder="1" applyAlignment="1" applyProtection="1">
      <alignment horizontal="center"/>
    </xf>
    <xf numFmtId="0" fontId="9" fillId="0" borderId="0" xfId="0" applyFont="1" applyFill="1" applyBorder="1" applyAlignment="1" applyProtection="1">
      <alignment horizontal="center"/>
    </xf>
    <xf numFmtId="0" fontId="10" fillId="7" borderId="3" xfId="0" applyFont="1" applyFill="1" applyBorder="1" applyAlignment="1" applyProtection="1">
      <alignment horizontal="center"/>
      <protection locked="0"/>
    </xf>
    <xf numFmtId="0" fontId="10" fillId="7" borderId="4" xfId="0" applyFont="1" applyFill="1" applyBorder="1" applyAlignment="1" applyProtection="1">
      <alignment horizontal="center"/>
      <protection locked="0"/>
    </xf>
    <xf numFmtId="0" fontId="10" fillId="7" borderId="8" xfId="0" applyFont="1" applyFill="1" applyBorder="1" applyAlignment="1" applyProtection="1">
      <alignment horizontal="center"/>
      <protection locked="0"/>
    </xf>
    <xf numFmtId="0" fontId="10" fillId="0" borderId="3" xfId="0" applyFont="1" applyFill="1" applyBorder="1" applyAlignment="1" applyProtection="1">
      <alignment horizontal="center"/>
    </xf>
    <xf numFmtId="0" fontId="10" fillId="0" borderId="4" xfId="0" applyFont="1" applyFill="1" applyBorder="1" applyAlignment="1" applyProtection="1">
      <alignment horizontal="center"/>
    </xf>
    <xf numFmtId="0" fontId="10" fillId="0" borderId="8" xfId="0" applyFont="1" applyFill="1" applyBorder="1" applyAlignment="1" applyProtection="1">
      <alignment horizontal="center"/>
    </xf>
    <xf numFmtId="0" fontId="32" fillId="0" borderId="1" xfId="0" applyFont="1" applyFill="1" applyBorder="1" applyAlignment="1" applyProtection="1">
      <alignment horizontal="center" vertical="center" wrapText="1"/>
    </xf>
    <xf numFmtId="0" fontId="32" fillId="0" borderId="2" xfId="0" applyFont="1" applyFill="1" applyBorder="1" applyAlignment="1" applyProtection="1">
      <alignment horizontal="center" vertical="center" wrapText="1"/>
    </xf>
    <xf numFmtId="0" fontId="32" fillId="0" borderId="11" xfId="0" applyFont="1" applyFill="1" applyBorder="1" applyAlignment="1" applyProtection="1">
      <alignment horizontal="center" vertical="center" wrapText="1"/>
    </xf>
    <xf numFmtId="0" fontId="32" fillId="0" borderId="7" xfId="0" applyFont="1" applyFill="1" applyBorder="1" applyAlignment="1" applyProtection="1">
      <alignment horizontal="center" vertical="center" wrapText="1"/>
    </xf>
    <xf numFmtId="0" fontId="32" fillId="0" borderId="0" xfId="0" applyFont="1" applyFill="1" applyBorder="1" applyAlignment="1" applyProtection="1">
      <alignment horizontal="center" vertical="center" wrapText="1"/>
    </xf>
    <xf numFmtId="0" fontId="32" fillId="0" borderId="13"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xf>
    <xf numFmtId="0" fontId="19" fillId="0" borderId="2" xfId="0" applyFont="1" applyFill="1" applyBorder="1" applyAlignment="1" applyProtection="1">
      <alignment horizontal="center" vertical="center" wrapText="1"/>
    </xf>
    <xf numFmtId="0" fontId="19" fillId="0" borderId="11" xfId="0" applyFont="1" applyFill="1" applyBorder="1" applyAlignment="1" applyProtection="1">
      <alignment horizontal="center" vertical="center" wrapText="1"/>
    </xf>
    <xf numFmtId="0" fontId="19" fillId="0" borderId="7" xfId="0" applyFont="1" applyFill="1" applyBorder="1" applyAlignment="1" applyProtection="1">
      <alignment horizontal="center" vertical="center" wrapText="1"/>
    </xf>
    <xf numFmtId="0" fontId="19" fillId="0" borderId="0" xfId="0" applyFont="1" applyFill="1" applyBorder="1" applyAlignment="1" applyProtection="1">
      <alignment horizontal="center" vertical="center" wrapText="1"/>
    </xf>
    <xf numFmtId="0" fontId="19" fillId="0" borderId="13" xfId="0" applyFont="1" applyFill="1" applyBorder="1" applyAlignment="1" applyProtection="1">
      <alignment horizontal="center" vertical="center" wrapText="1"/>
    </xf>
    <xf numFmtId="0" fontId="10" fillId="0" borderId="3" xfId="0" quotePrefix="1" applyFont="1" applyFill="1" applyBorder="1" applyAlignment="1" applyProtection="1">
      <alignment horizontal="center" wrapText="1"/>
    </xf>
    <xf numFmtId="0" fontId="10" fillId="0" borderId="4" xfId="0" quotePrefix="1" applyFont="1" applyFill="1" applyBorder="1" applyAlignment="1" applyProtection="1">
      <alignment horizontal="center" wrapText="1"/>
    </xf>
    <xf numFmtId="0" fontId="10" fillId="0" borderId="8" xfId="0" quotePrefix="1" applyFont="1" applyFill="1" applyBorder="1" applyAlignment="1" applyProtection="1">
      <alignment horizontal="center" wrapText="1"/>
    </xf>
    <xf numFmtId="0" fontId="2" fillId="7" borderId="4" xfId="0" applyFont="1" applyFill="1" applyBorder="1" applyAlignment="1" applyProtection="1">
      <alignment horizontal="left" wrapText="1"/>
      <protection locked="0"/>
    </xf>
    <xf numFmtId="0" fontId="0" fillId="7" borderId="4" xfId="0" applyFill="1" applyBorder="1" applyAlignment="1" applyProtection="1">
      <alignment horizontal="left" wrapText="1"/>
      <protection locked="0"/>
    </xf>
    <xf numFmtId="0" fontId="0" fillId="0" borderId="0" xfId="0" applyFill="1" applyBorder="1" applyAlignment="1" applyProtection="1">
      <alignment horizontal="center"/>
      <protection locked="0"/>
    </xf>
    <xf numFmtId="0" fontId="0" fillId="7" borderId="51" xfId="0" applyFill="1" applyBorder="1" applyAlignment="1" applyProtection="1">
      <alignment horizontal="center"/>
      <protection locked="0"/>
    </xf>
    <xf numFmtId="1" fontId="10" fillId="0" borderId="8" xfId="0" applyNumberFormat="1" applyFont="1" applyFill="1" applyBorder="1" applyAlignment="1" applyProtection="1">
      <alignment horizontal="center"/>
    </xf>
    <xf numFmtId="1" fontId="10" fillId="0" borderId="24" xfId="0" applyNumberFormat="1" applyFont="1" applyFill="1" applyBorder="1" applyAlignment="1" applyProtection="1">
      <alignment horizontal="center"/>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164" fontId="10" fillId="0" borderId="0" xfId="0" applyNumberFormat="1" applyFont="1" applyFill="1" applyBorder="1" applyAlignment="1" applyProtection="1">
      <alignment horizontal="left" vertical="top" wrapText="1"/>
    </xf>
    <xf numFmtId="0" fontId="10" fillId="7" borderId="0" xfId="0" applyFont="1" applyFill="1" applyBorder="1" applyAlignment="1" applyProtection="1">
      <alignment horizontal="left" vertical="top"/>
      <protection locked="0"/>
    </xf>
    <xf numFmtId="0" fontId="0" fillId="7" borderId="49" xfId="0" applyFill="1" applyBorder="1" applyAlignment="1" applyProtection="1">
      <alignment horizontal="center"/>
      <protection locked="0"/>
    </xf>
    <xf numFmtId="0" fontId="0" fillId="7" borderId="0" xfId="0" applyFill="1" applyBorder="1" applyAlignment="1" applyProtection="1">
      <alignment horizontal="center"/>
      <protection locked="0"/>
    </xf>
    <xf numFmtId="0" fontId="10" fillId="0" borderId="0" xfId="0" applyFont="1" applyFill="1" applyBorder="1" applyAlignment="1" applyProtection="1">
      <alignment horizontal="left" vertical="top" wrapText="1"/>
    </xf>
    <xf numFmtId="0" fontId="10" fillId="0" borderId="53" xfId="0" applyFont="1" applyFill="1" applyBorder="1" applyAlignment="1" applyProtection="1">
      <alignment horizontal="left" vertical="top" wrapText="1"/>
    </xf>
    <xf numFmtId="0" fontId="0" fillId="0" borderId="49" xfId="0" applyFill="1" applyBorder="1" applyAlignment="1" applyProtection="1">
      <alignment horizontal="center"/>
    </xf>
    <xf numFmtId="0" fontId="9" fillId="0" borderId="50" xfId="0" applyFont="1" applyBorder="1" applyAlignment="1" applyProtection="1">
      <alignment horizontal="center"/>
    </xf>
    <xf numFmtId="9" fontId="10" fillId="7" borderId="5" xfId="0" applyNumberFormat="1" applyFont="1" applyFill="1" applyBorder="1" applyAlignment="1" applyProtection="1">
      <alignment horizontal="left"/>
      <protection locked="0"/>
    </xf>
    <xf numFmtId="9" fontId="19" fillId="0" borderId="12" xfId="0" applyNumberFormat="1" applyFont="1" applyFill="1" applyBorder="1" applyAlignment="1" applyProtection="1">
      <alignment horizontal="center"/>
    </xf>
    <xf numFmtId="0" fontId="19" fillId="0" borderId="3" xfId="0" applyNumberFormat="1" applyFont="1" applyFill="1" applyBorder="1" applyAlignment="1" applyProtection="1">
      <alignment horizontal="center"/>
    </xf>
    <xf numFmtId="0" fontId="10" fillId="0" borderId="47" xfId="0" applyNumberFormat="1" applyFont="1" applyBorder="1" applyAlignment="1">
      <alignment horizontal="left" vertical="top" wrapText="1"/>
    </xf>
    <xf numFmtId="0" fontId="10" fillId="0" borderId="0" xfId="0" applyNumberFormat="1" applyFont="1" applyBorder="1" applyAlignment="1">
      <alignment horizontal="left" vertical="top" wrapText="1"/>
    </xf>
    <xf numFmtId="0" fontId="10" fillId="0" borderId="47" xfId="0" applyFont="1" applyBorder="1" applyAlignment="1">
      <alignment horizontal="left" vertical="top" wrapText="1"/>
    </xf>
    <xf numFmtId="0" fontId="10" fillId="0" borderId="0" xfId="0" applyFont="1" applyBorder="1" applyAlignment="1">
      <alignment horizontal="left" vertical="top" wrapText="1"/>
    </xf>
    <xf numFmtId="0" fontId="10" fillId="0" borderId="53" xfId="0" applyFont="1" applyBorder="1" applyAlignment="1">
      <alignment horizontal="left" vertical="top" wrapText="1"/>
    </xf>
    <xf numFmtId="0" fontId="9" fillId="0" borderId="0" xfId="0" applyFont="1" applyFill="1" applyBorder="1" applyAlignment="1" applyProtection="1">
      <alignment horizontal="right"/>
    </xf>
    <xf numFmtId="1" fontId="11" fillId="11" borderId="3" xfId="0" applyNumberFormat="1" applyFont="1" applyFill="1" applyBorder="1" applyAlignment="1" applyProtection="1">
      <alignment horizontal="center" vertical="center"/>
    </xf>
    <xf numFmtId="1" fontId="11" fillId="11" borderId="8" xfId="0" applyNumberFormat="1" applyFont="1" applyFill="1" applyBorder="1" applyAlignment="1" applyProtection="1">
      <alignment horizontal="center" vertical="center"/>
    </xf>
    <xf numFmtId="0" fontId="9" fillId="11" borderId="4" xfId="0" applyFont="1" applyFill="1" applyBorder="1" applyAlignment="1" applyProtection="1">
      <alignment horizontal="center"/>
    </xf>
    <xf numFmtId="0" fontId="19" fillId="0" borderId="7" xfId="0" applyFont="1" applyFill="1" applyBorder="1" applyAlignment="1" applyProtection="1">
      <alignment horizontal="center" wrapText="1"/>
    </xf>
    <xf numFmtId="0" fontId="19" fillId="0" borderId="0" xfId="0" applyFont="1" applyFill="1" applyBorder="1" applyAlignment="1" applyProtection="1">
      <alignment horizontal="center" wrapText="1"/>
    </xf>
    <xf numFmtId="0" fontId="19" fillId="10" borderId="7" xfId="0" applyFont="1" applyFill="1" applyBorder="1" applyAlignment="1" applyProtection="1">
      <alignment horizontal="center" wrapText="1"/>
    </xf>
    <xf numFmtId="0" fontId="19" fillId="10" borderId="0" xfId="0" applyFont="1" applyFill="1" applyBorder="1" applyAlignment="1" applyProtection="1">
      <alignment horizontal="center" wrapText="1"/>
    </xf>
    <xf numFmtId="0" fontId="9" fillId="0" borderId="0" xfId="0" applyFont="1" applyBorder="1" applyAlignment="1" applyProtection="1">
      <alignment horizontal="center" vertical="top"/>
    </xf>
    <xf numFmtId="0" fontId="9" fillId="0" borderId="50" xfId="0" applyFont="1" applyBorder="1" applyAlignment="1" applyProtection="1">
      <alignment horizontal="center" vertical="top"/>
    </xf>
    <xf numFmtId="1" fontId="36" fillId="0" borderId="3" xfId="0" quotePrefix="1" applyNumberFormat="1" applyFont="1" applyFill="1" applyBorder="1" applyAlignment="1" applyProtection="1">
      <alignment horizontal="center" wrapText="1"/>
    </xf>
    <xf numFmtId="1" fontId="36" fillId="0" borderId="4" xfId="0" quotePrefix="1" applyNumberFormat="1" applyFont="1" applyFill="1" applyBorder="1" applyAlignment="1" applyProtection="1">
      <alignment horizontal="center" wrapText="1"/>
    </xf>
    <xf numFmtId="1" fontId="36" fillId="0" borderId="8" xfId="0" quotePrefix="1" applyNumberFormat="1" applyFont="1" applyFill="1" applyBorder="1" applyAlignment="1" applyProtection="1">
      <alignment horizontal="center" wrapText="1"/>
    </xf>
    <xf numFmtId="0" fontId="0" fillId="0" borderId="3" xfId="0" applyBorder="1" applyAlignment="1" applyProtection="1">
      <alignment horizontal="center"/>
    </xf>
    <xf numFmtId="0" fontId="0" fillId="0" borderId="4" xfId="0" applyBorder="1" applyAlignment="1" applyProtection="1">
      <alignment horizontal="center"/>
    </xf>
    <xf numFmtId="0" fontId="0" fillId="0" borderId="8" xfId="0" applyBorder="1" applyAlignment="1" applyProtection="1">
      <alignment horizontal="center"/>
    </xf>
    <xf numFmtId="0" fontId="0" fillId="2" borderId="3" xfId="0" applyFill="1" applyBorder="1" applyAlignment="1" applyProtection="1">
      <alignment horizontal="center"/>
    </xf>
    <xf numFmtId="0" fontId="0" fillId="2" borderId="8" xfId="0" applyFill="1" applyBorder="1" applyAlignment="1" applyProtection="1">
      <alignment horizontal="center"/>
    </xf>
    <xf numFmtId="0" fontId="0" fillId="2" borderId="4" xfId="0" applyFill="1" applyBorder="1" applyAlignment="1" applyProtection="1">
      <alignment horizontal="center"/>
    </xf>
    <xf numFmtId="0" fontId="0" fillId="11" borderId="3" xfId="0" applyFill="1" applyBorder="1" applyAlignment="1" applyProtection="1">
      <alignment horizontal="center"/>
    </xf>
    <xf numFmtId="0" fontId="0" fillId="11" borderId="8" xfId="0" applyFill="1" applyBorder="1" applyAlignment="1" applyProtection="1">
      <alignment horizontal="center"/>
    </xf>
    <xf numFmtId="0" fontId="11" fillId="0" borderId="3" xfId="0" applyFont="1" applyFill="1" applyBorder="1" applyAlignment="1" applyProtection="1">
      <alignment horizontal="center"/>
    </xf>
    <xf numFmtId="0" fontId="11" fillId="0" borderId="8" xfId="0" applyFont="1" applyFill="1" applyBorder="1" applyAlignment="1" applyProtection="1">
      <alignment horizontal="center"/>
    </xf>
    <xf numFmtId="0" fontId="19" fillId="0" borderId="9" xfId="0" applyFont="1" applyFill="1" applyBorder="1" applyAlignment="1" applyProtection="1">
      <alignment horizontal="center" vertical="center" wrapText="1"/>
    </xf>
    <xf numFmtId="0" fontId="19" fillId="0" borderId="5" xfId="0" applyFont="1" applyFill="1" applyBorder="1" applyAlignment="1" applyProtection="1">
      <alignment horizontal="center" vertical="center" wrapText="1"/>
    </xf>
    <xf numFmtId="0" fontId="19" fillId="0" borderId="10" xfId="0" applyFont="1" applyFill="1" applyBorder="1" applyAlignment="1" applyProtection="1">
      <alignment horizontal="center" vertical="center" wrapText="1"/>
    </xf>
    <xf numFmtId="0" fontId="9" fillId="0" borderId="0" xfId="0" applyFont="1" applyFill="1" applyBorder="1" applyAlignment="1" applyProtection="1">
      <alignment horizontal="center" vertical="top"/>
    </xf>
    <xf numFmtId="0" fontId="2" fillId="50" borderId="12" xfId="0" applyFont="1" applyFill="1" applyBorder="1" applyAlignment="1" applyProtection="1">
      <alignment horizontal="center"/>
    </xf>
    <xf numFmtId="0" fontId="10" fillId="0" borderId="47" xfId="574" applyFont="1" applyBorder="1" applyAlignment="1">
      <alignment horizontal="left" vertical="top" wrapText="1"/>
    </xf>
    <xf numFmtId="0" fontId="10" fillId="0" borderId="0" xfId="574" applyFont="1" applyBorder="1" applyAlignment="1">
      <alignment horizontal="left" vertical="top" wrapText="1"/>
    </xf>
    <xf numFmtId="0" fontId="52" fillId="0" borderId="0" xfId="0" applyFont="1" applyAlignment="1">
      <alignment horizontal="left" vertical="top" wrapText="1"/>
    </xf>
    <xf numFmtId="0" fontId="10" fillId="0" borderId="0" xfId="0" applyFont="1" applyFill="1" applyBorder="1" applyAlignment="1" applyProtection="1">
      <alignment horizontal="center"/>
    </xf>
    <xf numFmtId="0" fontId="19" fillId="0" borderId="3" xfId="0" applyFont="1" applyFill="1" applyBorder="1" applyAlignment="1" applyProtection="1">
      <alignment horizontal="center" wrapText="1"/>
    </xf>
    <xf numFmtId="0" fontId="19" fillId="0" borderId="4" xfId="0" applyFont="1" applyFill="1" applyBorder="1" applyAlignment="1" applyProtection="1">
      <alignment horizontal="center" wrapText="1"/>
    </xf>
    <xf numFmtId="0" fontId="19" fillId="0" borderId="8" xfId="0" applyFont="1" applyFill="1" applyBorder="1" applyAlignment="1" applyProtection="1">
      <alignment horizontal="center" wrapText="1"/>
    </xf>
    <xf numFmtId="0" fontId="19" fillId="0" borderId="0" xfId="0" applyFont="1" applyFill="1" applyBorder="1" applyAlignment="1" applyProtection="1">
      <alignment horizontal="left" vertical="top" wrapText="1"/>
    </xf>
    <xf numFmtId="0" fontId="10" fillId="7" borderId="5" xfId="0" applyFont="1" applyFill="1" applyBorder="1" applyAlignment="1" applyProtection="1">
      <alignment horizontal="center" vertical="center" wrapText="1" shrinkToFit="1"/>
      <protection locked="0"/>
    </xf>
    <xf numFmtId="166" fontId="11" fillId="0" borderId="9" xfId="0" applyNumberFormat="1" applyFont="1" applyFill="1" applyBorder="1" applyAlignment="1" applyProtection="1">
      <alignment horizontal="center"/>
    </xf>
    <xf numFmtId="166" fontId="11" fillId="0" borderId="5" xfId="0" applyNumberFormat="1" applyFont="1" applyFill="1" applyBorder="1" applyAlignment="1" applyProtection="1">
      <alignment horizontal="center"/>
    </xf>
    <xf numFmtId="166" fontId="11" fillId="0" borderId="10" xfId="0" applyNumberFormat="1" applyFont="1" applyFill="1" applyBorder="1" applyAlignment="1" applyProtection="1">
      <alignment horizontal="center"/>
    </xf>
    <xf numFmtId="0" fontId="9" fillId="0" borderId="1" xfId="0" applyFont="1" applyFill="1" applyBorder="1" applyAlignment="1" applyProtection="1">
      <alignment horizontal="center" wrapText="1"/>
    </xf>
    <xf numFmtId="0" fontId="9" fillId="0" borderId="9" xfId="0" applyFont="1" applyFill="1" applyBorder="1" applyAlignment="1" applyProtection="1">
      <alignment horizontal="center" wrapText="1"/>
    </xf>
    <xf numFmtId="0" fontId="10" fillId="11" borderId="3" xfId="0" applyFont="1" applyFill="1" applyBorder="1" applyAlignment="1" applyProtection="1">
      <alignment horizontal="center"/>
    </xf>
    <xf numFmtId="0" fontId="10" fillId="11" borderId="4" xfId="0" applyFont="1" applyFill="1" applyBorder="1" applyAlignment="1" applyProtection="1">
      <alignment horizontal="center"/>
    </xf>
    <xf numFmtId="0" fontId="10" fillId="11" borderId="8" xfId="0" applyFont="1" applyFill="1" applyBorder="1" applyAlignment="1" applyProtection="1">
      <alignment horizontal="center"/>
    </xf>
    <xf numFmtId="166" fontId="10" fillId="0" borderId="21" xfId="0" applyNumberFormat="1" applyFont="1" applyFill="1" applyBorder="1" applyAlignment="1" applyProtection="1">
      <alignment horizontal="center"/>
    </xf>
    <xf numFmtId="10" fontId="10" fillId="0" borderId="3" xfId="573" applyNumberFormat="1" applyFont="1" applyFill="1" applyBorder="1" applyAlignment="1" applyProtection="1">
      <alignment horizontal="center"/>
    </xf>
    <xf numFmtId="10" fontId="10" fillId="0" borderId="4" xfId="573" applyNumberFormat="1" applyFont="1" applyFill="1" applyBorder="1" applyAlignment="1" applyProtection="1">
      <alignment horizontal="center"/>
    </xf>
    <xf numFmtId="10" fontId="10" fillId="0" borderId="8" xfId="573" applyNumberFormat="1" applyFont="1" applyFill="1" applyBorder="1" applyAlignment="1" applyProtection="1">
      <alignment horizontal="center"/>
    </xf>
    <xf numFmtId="0" fontId="9" fillId="0" borderId="10" xfId="0" applyFont="1" applyBorder="1" applyAlignment="1" applyProtection="1">
      <alignment horizontal="center"/>
    </xf>
    <xf numFmtId="2" fontId="10" fillId="0" borderId="3" xfId="0" applyNumberFormat="1" applyFont="1" applyFill="1" applyBorder="1" applyAlignment="1" applyProtection="1">
      <alignment horizontal="center"/>
    </xf>
    <xf numFmtId="2" fontId="10" fillId="0" borderId="4" xfId="0" applyNumberFormat="1" applyFont="1" applyFill="1" applyBorder="1" applyAlignment="1" applyProtection="1">
      <alignment horizontal="center"/>
    </xf>
    <xf numFmtId="2" fontId="10" fillId="0" borderId="8" xfId="0" applyNumberFormat="1" applyFont="1" applyFill="1" applyBorder="1" applyAlignment="1" applyProtection="1">
      <alignment horizontal="center"/>
    </xf>
    <xf numFmtId="0" fontId="19" fillId="0" borderId="1" xfId="0" applyFont="1" applyFill="1" applyBorder="1" applyAlignment="1" applyProtection="1">
      <alignment horizontal="center" wrapText="1"/>
    </xf>
    <xf numFmtId="0" fontId="19" fillId="0" borderId="2" xfId="0" applyFont="1" applyFill="1" applyBorder="1" applyAlignment="1" applyProtection="1">
      <alignment horizontal="center" wrapText="1"/>
    </xf>
    <xf numFmtId="0" fontId="19" fillId="0" borderId="11" xfId="0" applyFont="1" applyFill="1" applyBorder="1" applyAlignment="1" applyProtection="1">
      <alignment horizontal="center" wrapText="1"/>
    </xf>
    <xf numFmtId="0" fontId="19" fillId="0" borderId="13" xfId="0" applyFont="1" applyFill="1" applyBorder="1" applyAlignment="1" applyProtection="1">
      <alignment horizontal="center" wrapText="1"/>
    </xf>
    <xf numFmtId="1" fontId="11" fillId="0" borderId="3" xfId="0" applyNumberFormat="1" applyFont="1" applyBorder="1" applyAlignment="1" applyProtection="1">
      <alignment horizontal="center"/>
    </xf>
    <xf numFmtId="1" fontId="11" fillId="0" borderId="4" xfId="0" applyNumberFormat="1" applyFont="1" applyBorder="1" applyAlignment="1" applyProtection="1">
      <alignment horizontal="center"/>
    </xf>
    <xf numFmtId="1" fontId="11" fillId="0" borderId="8" xfId="0" applyNumberFormat="1" applyFont="1" applyBorder="1" applyAlignment="1" applyProtection="1">
      <alignment horizontal="center"/>
    </xf>
    <xf numFmtId="0" fontId="9" fillId="4" borderId="3" xfId="0" applyFont="1" applyFill="1" applyBorder="1" applyAlignment="1" applyProtection="1">
      <alignment horizontal="center" wrapText="1"/>
    </xf>
    <xf numFmtId="0" fontId="9" fillId="4" borderId="4" xfId="0" applyFont="1" applyFill="1" applyBorder="1" applyAlignment="1" applyProtection="1">
      <alignment horizontal="center" wrapText="1"/>
    </xf>
    <xf numFmtId="0" fontId="9" fillId="4" borderId="8" xfId="0" applyFont="1" applyFill="1" applyBorder="1" applyAlignment="1" applyProtection="1">
      <alignment horizontal="center" wrapText="1"/>
    </xf>
    <xf numFmtId="0" fontId="10" fillId="0" borderId="3" xfId="0" applyFont="1" applyBorder="1" applyAlignment="1" applyProtection="1">
      <alignment horizontal="center"/>
    </xf>
    <xf numFmtId="0" fontId="10" fillId="0" borderId="4" xfId="0" applyFont="1" applyBorder="1" applyAlignment="1" applyProtection="1">
      <alignment horizontal="center"/>
    </xf>
    <xf numFmtId="0" fontId="10" fillId="0" borderId="8" xfId="0" applyFont="1" applyBorder="1" applyAlignment="1" applyProtection="1">
      <alignment horizontal="center"/>
    </xf>
    <xf numFmtId="0" fontId="11" fillId="0" borderId="12" xfId="0" applyFont="1" applyFill="1" applyBorder="1" applyAlignment="1" applyProtection="1">
      <alignment horizontal="center"/>
    </xf>
    <xf numFmtId="0" fontId="47" fillId="0" borderId="4" xfId="0" applyFont="1" applyFill="1" applyBorder="1" applyAlignment="1" applyProtection="1">
      <alignment horizontal="left"/>
    </xf>
    <xf numFmtId="0" fontId="47" fillId="0" borderId="8" xfId="0" applyFont="1" applyFill="1" applyBorder="1" applyAlignment="1" applyProtection="1">
      <alignment horizontal="left"/>
    </xf>
    <xf numFmtId="0" fontId="22" fillId="0" borderId="3" xfId="546" applyFont="1" applyBorder="1" applyAlignment="1" applyProtection="1">
      <alignment horizontal="center"/>
    </xf>
    <xf numFmtId="0" fontId="22" fillId="0" borderId="4" xfId="546" applyFont="1" applyBorder="1" applyAlignment="1" applyProtection="1">
      <alignment horizontal="center"/>
    </xf>
    <xf numFmtId="0" fontId="22" fillId="0" borderId="8" xfId="546" applyFont="1" applyBorder="1" applyAlignment="1" applyProtection="1">
      <alignment horizontal="center"/>
    </xf>
    <xf numFmtId="0" fontId="9" fillId="0" borderId="3" xfId="546" applyFont="1" applyBorder="1" applyAlignment="1" applyProtection="1">
      <alignment horizontal="right"/>
    </xf>
    <xf numFmtId="0" fontId="9" fillId="0" borderId="4" xfId="546" applyFont="1" applyBorder="1" applyAlignment="1" applyProtection="1">
      <alignment horizontal="right"/>
    </xf>
    <xf numFmtId="0" fontId="9" fillId="0" borderId="8" xfId="546" applyFont="1" applyBorder="1" applyAlignment="1" applyProtection="1">
      <alignment horizontal="right"/>
    </xf>
    <xf numFmtId="0" fontId="10" fillId="0" borderId="0" xfId="0" applyNumberFormat="1" applyFont="1" applyFill="1" applyBorder="1" applyAlignment="1" applyProtection="1">
      <alignment horizontal="left" vertical="top" wrapText="1"/>
    </xf>
    <xf numFmtId="0" fontId="10" fillId="4" borderId="3" xfId="0" applyFont="1" applyFill="1" applyBorder="1" applyAlignment="1" applyProtection="1">
      <alignment horizontal="center"/>
    </xf>
    <xf numFmtId="0" fontId="10" fillId="4" borderId="4" xfId="0" applyFont="1" applyFill="1" applyBorder="1" applyAlignment="1" applyProtection="1">
      <alignment horizontal="center"/>
    </xf>
    <xf numFmtId="0" fontId="10" fillId="4" borderId="8" xfId="0" applyFont="1" applyFill="1" applyBorder="1" applyAlignment="1" applyProtection="1">
      <alignment horizontal="center"/>
    </xf>
    <xf numFmtId="0" fontId="9" fillId="0" borderId="0" xfId="0" applyFont="1" applyFill="1" applyBorder="1" applyAlignment="1" applyProtection="1">
      <alignment horizontal="left" vertical="top"/>
    </xf>
    <xf numFmtId="164" fontId="10" fillId="0" borderId="46" xfId="0" applyNumberFormat="1" applyFont="1" applyFill="1" applyBorder="1" applyAlignment="1" applyProtection="1">
      <alignment horizontal="left" vertical="top" wrapText="1"/>
    </xf>
    <xf numFmtId="164" fontId="10" fillId="0" borderId="47" xfId="0" applyNumberFormat="1" applyFont="1" applyFill="1" applyBorder="1" applyAlignment="1" applyProtection="1">
      <alignment horizontal="left" vertical="top" wrapText="1"/>
    </xf>
    <xf numFmtId="164" fontId="10" fillId="0" borderId="48" xfId="0" applyNumberFormat="1" applyFont="1" applyFill="1" applyBorder="1" applyAlignment="1" applyProtection="1">
      <alignment horizontal="left" vertical="top" wrapText="1"/>
    </xf>
    <xf numFmtId="164" fontId="10" fillId="0" borderId="52" xfId="0" applyNumberFormat="1" applyFont="1" applyFill="1" applyBorder="1" applyAlignment="1" applyProtection="1">
      <alignment horizontal="left" vertical="top" wrapText="1"/>
    </xf>
    <xf numFmtId="164" fontId="10" fillId="0" borderId="53" xfId="0" applyNumberFormat="1" applyFont="1" applyFill="1" applyBorder="1" applyAlignment="1" applyProtection="1">
      <alignment horizontal="left" vertical="top" wrapText="1"/>
    </xf>
    <xf numFmtId="164" fontId="10" fillId="0" borderId="54" xfId="0" applyNumberFormat="1" applyFont="1" applyFill="1" applyBorder="1" applyAlignment="1" applyProtection="1">
      <alignment horizontal="left" vertical="top" wrapText="1"/>
    </xf>
    <xf numFmtId="166" fontId="9" fillId="0" borderId="12" xfId="0" applyNumberFormat="1" applyFont="1" applyFill="1" applyBorder="1" applyAlignment="1" applyProtection="1">
      <alignment horizontal="center"/>
    </xf>
    <xf numFmtId="1" fontId="9" fillId="0" borderId="12" xfId="0" applyNumberFormat="1" applyFont="1" applyFill="1" applyBorder="1" applyAlignment="1" applyProtection="1">
      <alignment horizontal="center"/>
    </xf>
    <xf numFmtId="166" fontId="17" fillId="0" borderId="1" xfId="0" applyNumberFormat="1" applyFont="1" applyFill="1" applyBorder="1" applyAlignment="1" applyProtection="1">
      <alignment horizontal="center" vertical="center"/>
    </xf>
    <xf numFmtId="166" fontId="17" fillId="0" borderId="2" xfId="0" applyNumberFormat="1" applyFont="1" applyFill="1" applyBorder="1" applyAlignment="1" applyProtection="1">
      <alignment horizontal="center" vertical="center"/>
    </xf>
    <xf numFmtId="166" fontId="17" fillId="0" borderId="11" xfId="0" applyNumberFormat="1" applyFont="1" applyFill="1" applyBorder="1" applyAlignment="1" applyProtection="1">
      <alignment horizontal="center" vertical="center"/>
    </xf>
    <xf numFmtId="166" fontId="17" fillId="0" borderId="9" xfId="0" applyNumberFormat="1" applyFont="1" applyFill="1" applyBorder="1" applyAlignment="1" applyProtection="1">
      <alignment horizontal="center" vertical="center"/>
    </xf>
    <xf numFmtId="166" fontId="17" fillId="0" borderId="5" xfId="0" applyNumberFormat="1" applyFont="1" applyFill="1" applyBorder="1" applyAlignment="1" applyProtection="1">
      <alignment horizontal="center" vertical="center"/>
    </xf>
    <xf numFmtId="166" fontId="17" fillId="0" borderId="10" xfId="0" applyNumberFormat="1" applyFont="1" applyFill="1" applyBorder="1" applyAlignment="1" applyProtection="1">
      <alignment horizontal="center" vertical="center"/>
    </xf>
    <xf numFmtId="0" fontId="34" fillId="0" borderId="3" xfId="0" applyFont="1" applyBorder="1" applyAlignment="1" applyProtection="1">
      <alignment horizontal="center"/>
    </xf>
    <xf numFmtId="0" fontId="34" fillId="0" borderId="8" xfId="0" applyFont="1" applyBorder="1" applyAlignment="1" applyProtection="1">
      <alignment horizontal="center"/>
    </xf>
    <xf numFmtId="0" fontId="11" fillId="7" borderId="3" xfId="0" applyFont="1" applyFill="1" applyBorder="1" applyAlignment="1" applyProtection="1">
      <alignment horizontal="center" wrapText="1"/>
      <protection locked="0"/>
    </xf>
    <xf numFmtId="0" fontId="11" fillId="7" borderId="8" xfId="0" applyFont="1" applyFill="1" applyBorder="1" applyAlignment="1" applyProtection="1">
      <alignment horizontal="center" wrapText="1"/>
      <protection locked="0"/>
    </xf>
    <xf numFmtId="1" fontId="11" fillId="13" borderId="12" xfId="0" applyNumberFormat="1" applyFont="1" applyFill="1" applyBorder="1" applyAlignment="1" applyProtection="1">
      <alignment horizontal="center"/>
    </xf>
    <xf numFmtId="0" fontId="9" fillId="0" borderId="4" xfId="0" applyFont="1" applyBorder="1"/>
    <xf numFmtId="0" fontId="9" fillId="0" borderId="8" xfId="0" applyFont="1" applyBorder="1"/>
    <xf numFmtId="1" fontId="11" fillId="13" borderId="3" xfId="0" applyNumberFormat="1" applyFont="1" applyFill="1" applyBorder="1" applyAlignment="1" applyProtection="1">
      <alignment horizontal="center"/>
    </xf>
    <xf numFmtId="1" fontId="11" fillId="13" borderId="4" xfId="0" applyNumberFormat="1" applyFont="1" applyFill="1" applyBorder="1" applyAlignment="1" applyProtection="1">
      <alignment horizontal="center"/>
    </xf>
    <xf numFmtId="1" fontId="11" fillId="13" borderId="8" xfId="0" applyNumberFormat="1" applyFont="1" applyFill="1" applyBorder="1" applyAlignment="1" applyProtection="1">
      <alignment horizontal="center"/>
    </xf>
    <xf numFmtId="0" fontId="11" fillId="0" borderId="4" xfId="0" applyFont="1" applyFill="1" applyBorder="1" applyAlignment="1" applyProtection="1">
      <alignment horizontal="center"/>
    </xf>
    <xf numFmtId="1" fontId="11" fillId="0" borderId="3" xfId="0" applyNumberFormat="1" applyFont="1" applyFill="1" applyBorder="1" applyAlignment="1" applyProtection="1">
      <alignment horizontal="center"/>
    </xf>
    <xf numFmtId="1" fontId="11" fillId="0" borderId="4" xfId="0" applyNumberFormat="1" applyFont="1" applyFill="1" applyBorder="1" applyAlignment="1" applyProtection="1">
      <alignment horizontal="center"/>
    </xf>
    <xf numFmtId="1" fontId="11" fillId="0" borderId="8" xfId="0" applyNumberFormat="1" applyFont="1" applyFill="1" applyBorder="1" applyAlignment="1" applyProtection="1">
      <alignment horizontal="center"/>
    </xf>
    <xf numFmtId="166" fontId="9" fillId="0" borderId="8" xfId="0" applyNumberFormat="1" applyFont="1" applyFill="1" applyBorder="1" applyAlignment="1" applyProtection="1">
      <alignment horizontal="center"/>
    </xf>
    <xf numFmtId="0" fontId="0" fillId="14" borderId="3" xfId="0" applyFill="1" applyBorder="1" applyAlignment="1" applyProtection="1">
      <alignment horizontal="center"/>
    </xf>
    <xf numFmtId="0" fontId="0" fillId="14" borderId="4" xfId="0" applyFill="1" applyBorder="1" applyAlignment="1" applyProtection="1">
      <alignment horizontal="center"/>
    </xf>
    <xf numFmtId="0" fontId="0" fillId="14" borderId="8" xfId="0" applyFill="1" applyBorder="1" applyAlignment="1" applyProtection="1">
      <alignment horizontal="center"/>
    </xf>
    <xf numFmtId="1" fontId="11" fillId="13" borderId="9" xfId="0" applyNumberFormat="1" applyFont="1" applyFill="1" applyBorder="1" applyAlignment="1" applyProtection="1">
      <alignment horizontal="center"/>
    </xf>
    <xf numFmtId="1" fontId="11" fillId="13" borderId="5" xfId="0" applyNumberFormat="1" applyFont="1" applyFill="1" applyBorder="1" applyAlignment="1" applyProtection="1">
      <alignment horizontal="center"/>
    </xf>
    <xf numFmtId="1" fontId="11" fillId="13" borderId="10" xfId="0" applyNumberFormat="1" applyFont="1" applyFill="1" applyBorder="1" applyAlignment="1" applyProtection="1">
      <alignment horizontal="center"/>
    </xf>
    <xf numFmtId="49" fontId="8" fillId="5" borderId="2" xfId="0" applyNumberFormat="1" applyFont="1" applyFill="1" applyBorder="1" applyAlignment="1" applyProtection="1">
      <alignment horizontal="center" vertical="center"/>
    </xf>
    <xf numFmtId="49" fontId="8" fillId="5" borderId="0" xfId="0" applyNumberFormat="1" applyFont="1" applyFill="1" applyBorder="1" applyAlignment="1" applyProtection="1">
      <alignment horizontal="center" vertical="center"/>
    </xf>
    <xf numFmtId="1" fontId="11" fillId="0" borderId="12" xfId="0" applyNumberFormat="1" applyFont="1" applyFill="1" applyBorder="1" applyAlignment="1" applyProtection="1">
      <alignment horizontal="center"/>
    </xf>
    <xf numFmtId="0" fontId="46" fillId="0" borderId="4" xfId="0" applyFont="1" applyFill="1" applyBorder="1" applyAlignment="1" applyProtection="1">
      <alignment horizontal="left"/>
    </xf>
    <xf numFmtId="0" fontId="46" fillId="0" borderId="8" xfId="0" applyFont="1" applyFill="1" applyBorder="1" applyAlignment="1" applyProtection="1">
      <alignment horizontal="left"/>
    </xf>
    <xf numFmtId="0" fontId="10" fillId="7" borderId="5" xfId="0" applyFont="1" applyFill="1" applyBorder="1" applyAlignment="1" applyProtection="1">
      <alignment horizontal="left"/>
      <protection locked="0"/>
    </xf>
    <xf numFmtId="0" fontId="10" fillId="7" borderId="5" xfId="0" applyFont="1" applyFill="1" applyBorder="1" applyAlignment="1" applyProtection="1">
      <alignment horizontal="center"/>
      <protection locked="0"/>
    </xf>
    <xf numFmtId="0" fontId="22" fillId="7" borderId="5" xfId="0" applyFont="1" applyFill="1" applyBorder="1" applyAlignment="1" applyProtection="1">
      <alignment horizontal="center"/>
      <protection locked="0"/>
    </xf>
    <xf numFmtId="0" fontId="19" fillId="0" borderId="12" xfId="0" applyFont="1" applyFill="1" applyBorder="1" applyAlignment="1" applyProtection="1">
      <alignment horizontal="center" vertical="center" wrapText="1"/>
    </xf>
    <xf numFmtId="44" fontId="10" fillId="0" borderId="0" xfId="164" applyFont="1" applyFill="1" applyBorder="1" applyAlignment="1" applyProtection="1">
      <alignment horizontal="left" vertical="top" wrapText="1"/>
    </xf>
    <xf numFmtId="0" fontId="10" fillId="47" borderId="3" xfId="0" applyFont="1" applyFill="1" applyBorder="1" applyAlignment="1" applyProtection="1">
      <alignment horizontal="center"/>
      <protection locked="0"/>
    </xf>
    <xf numFmtId="0" fontId="10" fillId="47" borderId="4" xfId="0" applyFont="1" applyFill="1" applyBorder="1" applyAlignment="1" applyProtection="1">
      <alignment horizontal="center"/>
      <protection locked="0"/>
    </xf>
    <xf numFmtId="0" fontId="10" fillId="47" borderId="8" xfId="0" applyFont="1" applyFill="1" applyBorder="1" applyAlignment="1" applyProtection="1">
      <alignment horizontal="center"/>
      <protection locked="0"/>
    </xf>
    <xf numFmtId="1" fontId="10" fillId="47" borderId="15" xfId="0" applyNumberFormat="1" applyFont="1" applyFill="1" applyBorder="1" applyAlignment="1" applyProtection="1">
      <alignment horizontal="center"/>
    </xf>
    <xf numFmtId="1" fontId="10" fillId="0" borderId="15" xfId="0" applyNumberFormat="1" applyFont="1" applyFill="1" applyBorder="1" applyAlignment="1" applyProtection="1">
      <alignment horizontal="center"/>
    </xf>
    <xf numFmtId="0" fontId="10" fillId="0" borderId="0" xfId="0" applyFont="1" applyFill="1" applyBorder="1" applyAlignment="1" applyProtection="1">
      <alignment horizontal="left" vertical="center" wrapText="1" shrinkToFit="1"/>
    </xf>
    <xf numFmtId="0" fontId="10" fillId="0" borderId="5" xfId="0" applyFont="1" applyFill="1" applyBorder="1" applyAlignment="1" applyProtection="1">
      <alignment horizontal="left" vertical="top" wrapText="1"/>
    </xf>
    <xf numFmtId="0" fontId="10" fillId="7" borderId="5" xfId="0" applyFont="1" applyFill="1" applyBorder="1" applyAlignment="1" applyProtection="1">
      <alignment horizontal="left" wrapText="1" shrinkToFit="1"/>
      <protection locked="0"/>
    </xf>
    <xf numFmtId="0" fontId="9" fillId="0" borderId="0" xfId="0" applyFont="1" applyAlignment="1" applyProtection="1">
      <alignment horizontal="right"/>
    </xf>
    <xf numFmtId="0" fontId="11" fillId="0" borderId="12" xfId="0" applyNumberFormat="1" applyFont="1" applyFill="1" applyBorder="1" applyAlignment="1" applyProtection="1">
      <alignment horizontal="center"/>
    </xf>
    <xf numFmtId="0" fontId="10" fillId="0" borderId="5" xfId="0" applyFont="1" applyBorder="1" applyAlignment="1" applyProtection="1">
      <alignment horizontal="left"/>
    </xf>
    <xf numFmtId="0" fontId="10" fillId="0" borderId="0" xfId="0" applyFont="1" applyAlignment="1" applyProtection="1">
      <alignment horizontal="left" vertical="top" wrapText="1"/>
    </xf>
    <xf numFmtId="0" fontId="10" fillId="0" borderId="5" xfId="0" applyFont="1" applyBorder="1" applyAlignment="1" applyProtection="1">
      <alignment horizontal="left" vertical="top" wrapText="1"/>
    </xf>
    <xf numFmtId="0" fontId="2" fillId="0" borderId="4" xfId="546" applyFont="1" applyBorder="1" applyAlignment="1" applyProtection="1">
      <alignment horizontal="center"/>
    </xf>
    <xf numFmtId="0" fontId="0" fillId="0" borderId="3" xfId="0" applyFill="1" applyBorder="1" applyAlignment="1" applyProtection="1">
      <alignment horizontal="center"/>
    </xf>
    <xf numFmtId="0" fontId="0" fillId="0" borderId="4" xfId="0" applyFill="1" applyBorder="1" applyAlignment="1" applyProtection="1">
      <alignment horizontal="center"/>
    </xf>
    <xf numFmtId="0" fontId="0" fillId="0" borderId="8" xfId="0" applyFill="1" applyBorder="1" applyAlignment="1" applyProtection="1">
      <alignment horizontal="center"/>
    </xf>
    <xf numFmtId="0" fontId="19" fillId="4" borderId="3" xfId="0" applyFont="1" applyFill="1" applyBorder="1" applyAlignment="1" applyProtection="1">
      <alignment horizontal="right"/>
    </xf>
    <xf numFmtId="0" fontId="19" fillId="4" borderId="4" xfId="0" applyFont="1" applyFill="1" applyBorder="1" applyAlignment="1" applyProtection="1">
      <alignment horizontal="right"/>
    </xf>
    <xf numFmtId="0" fontId="19" fillId="4" borderId="8" xfId="0" applyFont="1" applyFill="1" applyBorder="1" applyAlignment="1" applyProtection="1">
      <alignment horizontal="right"/>
    </xf>
    <xf numFmtId="0" fontId="9" fillId="0" borderId="1" xfId="0" applyFont="1" applyBorder="1" applyAlignment="1" applyProtection="1">
      <alignment horizontal="right" vertical="center" wrapText="1"/>
    </xf>
    <xf numFmtId="0" fontId="9" fillId="0" borderId="2" xfId="0" applyFont="1" applyBorder="1" applyAlignment="1" applyProtection="1">
      <alignment horizontal="right" vertical="center" wrapText="1"/>
    </xf>
    <xf numFmtId="0" fontId="9" fillId="0" borderId="11" xfId="0" applyFont="1" applyBorder="1" applyAlignment="1" applyProtection="1">
      <alignment horizontal="right" vertical="center" wrapText="1"/>
    </xf>
    <xf numFmtId="0" fontId="9" fillId="0" borderId="9" xfId="0" applyFont="1" applyBorder="1" applyAlignment="1" applyProtection="1">
      <alignment horizontal="right" vertical="center" wrapText="1"/>
    </xf>
    <xf numFmtId="0" fontId="9" fillId="0" borderId="5" xfId="0" applyFont="1" applyBorder="1" applyAlignment="1" applyProtection="1">
      <alignment horizontal="right" vertical="center" wrapText="1"/>
    </xf>
    <xf numFmtId="0" fontId="9" fillId="0" borderId="10" xfId="0" applyFont="1" applyBorder="1" applyAlignment="1" applyProtection="1">
      <alignment horizontal="right" vertical="center" wrapText="1"/>
    </xf>
    <xf numFmtId="0" fontId="34" fillId="2" borderId="3" xfId="0" applyFont="1" applyFill="1" applyBorder="1" applyAlignment="1" applyProtection="1">
      <alignment horizontal="center"/>
    </xf>
    <xf numFmtId="0" fontId="34" fillId="2" borderId="8" xfId="0" applyFont="1" applyFill="1" applyBorder="1" applyAlignment="1" applyProtection="1">
      <alignment horizontal="center"/>
    </xf>
    <xf numFmtId="1" fontId="2" fillId="0" borderId="3" xfId="546" applyNumberFormat="1" applyFont="1" applyBorder="1" applyAlignment="1" applyProtection="1">
      <alignment horizontal="center"/>
    </xf>
    <xf numFmtId="1" fontId="2" fillId="0" borderId="4" xfId="546" applyNumberFormat="1" applyFont="1" applyBorder="1" applyAlignment="1" applyProtection="1">
      <alignment horizontal="center"/>
    </xf>
    <xf numFmtId="1" fontId="2" fillId="0" borderId="8" xfId="546" applyNumberFormat="1" applyFont="1" applyBorder="1" applyAlignment="1" applyProtection="1">
      <alignment horizontal="center"/>
    </xf>
    <xf numFmtId="0" fontId="0" fillId="0" borderId="1" xfId="0" applyBorder="1" applyAlignment="1" applyProtection="1">
      <alignment horizontal="center" wrapText="1"/>
    </xf>
    <xf numFmtId="173" fontId="2" fillId="0" borderId="3" xfId="546" applyNumberFormat="1" applyFont="1" applyBorder="1" applyAlignment="1" applyProtection="1">
      <alignment horizontal="center"/>
    </xf>
    <xf numFmtId="173" fontId="2" fillId="0" borderId="4" xfId="546" applyNumberFormat="1" applyFont="1" applyBorder="1" applyAlignment="1" applyProtection="1">
      <alignment horizontal="center"/>
    </xf>
    <xf numFmtId="173" fontId="2" fillId="0" borderId="8" xfId="546" applyNumberFormat="1" applyFont="1" applyBorder="1" applyAlignment="1" applyProtection="1">
      <alignment horizontal="center"/>
    </xf>
    <xf numFmtId="0" fontId="10" fillId="0" borderId="1" xfId="0" applyFont="1" applyFill="1" applyBorder="1" applyAlignment="1" applyProtection="1">
      <alignment horizontal="center" vertical="center"/>
    </xf>
    <xf numFmtId="0" fontId="10" fillId="0" borderId="2" xfId="0" applyFont="1" applyFill="1" applyBorder="1" applyAlignment="1" applyProtection="1">
      <alignment horizontal="center" vertical="center"/>
    </xf>
    <xf numFmtId="0" fontId="10" fillId="0" borderId="11" xfId="0" applyFont="1" applyFill="1" applyBorder="1" applyAlignment="1" applyProtection="1">
      <alignment horizontal="center" vertical="center"/>
    </xf>
    <xf numFmtId="0" fontId="10" fillId="0" borderId="9" xfId="0" applyFont="1" applyFill="1" applyBorder="1" applyAlignment="1" applyProtection="1">
      <alignment horizontal="center" vertical="center"/>
    </xf>
    <xf numFmtId="0" fontId="10" fillId="0" borderId="5" xfId="0" applyFont="1" applyFill="1" applyBorder="1" applyAlignment="1" applyProtection="1">
      <alignment horizontal="center" vertical="center"/>
    </xf>
    <xf numFmtId="0" fontId="10" fillId="0" borderId="10" xfId="0" applyFont="1" applyFill="1" applyBorder="1" applyAlignment="1" applyProtection="1">
      <alignment horizontal="center" vertical="center"/>
    </xf>
    <xf numFmtId="9" fontId="19" fillId="0" borderId="17" xfId="0" applyNumberFormat="1" applyFont="1" applyFill="1" applyBorder="1" applyAlignment="1" applyProtection="1">
      <alignment horizontal="center"/>
    </xf>
    <xf numFmtId="0" fontId="19" fillId="0" borderId="17" xfId="0" applyNumberFormat="1" applyFont="1" applyFill="1" applyBorder="1" applyAlignment="1" applyProtection="1">
      <alignment horizontal="center"/>
    </xf>
    <xf numFmtId="1" fontId="10" fillId="0" borderId="44" xfId="0" applyNumberFormat="1" applyFont="1" applyFill="1" applyBorder="1" applyAlignment="1" applyProtection="1">
      <alignment horizontal="center"/>
    </xf>
    <xf numFmtId="1" fontId="10" fillId="0" borderId="26" xfId="0" applyNumberFormat="1" applyFont="1" applyFill="1" applyBorder="1" applyAlignment="1" applyProtection="1">
      <alignment horizontal="center"/>
    </xf>
    <xf numFmtId="9" fontId="19" fillId="0" borderId="3" xfId="0" applyNumberFormat="1" applyFont="1" applyFill="1" applyBorder="1" applyAlignment="1" applyProtection="1">
      <alignment horizontal="center"/>
    </xf>
    <xf numFmtId="9" fontId="19" fillId="0" borderId="8" xfId="0" applyNumberFormat="1" applyFont="1" applyFill="1" applyBorder="1" applyAlignment="1" applyProtection="1">
      <alignment horizontal="center"/>
    </xf>
    <xf numFmtId="0" fontId="0" fillId="11" borderId="4" xfId="0" applyFill="1" applyBorder="1" applyAlignment="1" applyProtection="1">
      <alignment horizontal="center"/>
    </xf>
    <xf numFmtId="0" fontId="0" fillId="3" borderId="3" xfId="0" applyFill="1" applyBorder="1" applyAlignment="1" applyProtection="1">
      <alignment horizontal="center"/>
    </xf>
    <xf numFmtId="0" fontId="0" fillId="3" borderId="4" xfId="0" applyFill="1" applyBorder="1" applyAlignment="1" applyProtection="1">
      <alignment horizontal="center"/>
    </xf>
    <xf numFmtId="0" fontId="0" fillId="3" borderId="8" xfId="0" applyFill="1" applyBorder="1" applyAlignment="1" applyProtection="1">
      <alignment horizontal="center"/>
    </xf>
    <xf numFmtId="164" fontId="19" fillId="0" borderId="0" xfId="0" applyNumberFormat="1" applyFont="1" applyFill="1" applyBorder="1" applyAlignment="1" applyProtection="1">
      <alignment horizontal="left" vertical="top" wrapText="1"/>
    </xf>
    <xf numFmtId="1" fontId="10" fillId="0" borderId="25" xfId="0" applyNumberFormat="1" applyFont="1" applyFill="1" applyBorder="1" applyAlignment="1" applyProtection="1">
      <alignment horizontal="center"/>
    </xf>
    <xf numFmtId="1" fontId="10" fillId="0" borderId="10" xfId="0" applyNumberFormat="1" applyFont="1" applyFill="1" applyBorder="1" applyAlignment="1" applyProtection="1">
      <alignment horizontal="center"/>
    </xf>
    <xf numFmtId="1" fontId="10" fillId="0" borderId="27" xfId="0" applyNumberFormat="1" applyFont="1" applyFill="1" applyBorder="1" applyAlignment="1" applyProtection="1">
      <alignment horizontal="center"/>
    </xf>
    <xf numFmtId="1" fontId="10" fillId="0" borderId="20" xfId="0" applyNumberFormat="1" applyFont="1" applyFill="1" applyBorder="1" applyAlignment="1" applyProtection="1">
      <alignment horizontal="center"/>
    </xf>
    <xf numFmtId="0" fontId="19" fillId="47" borderId="17" xfId="0" applyNumberFormat="1" applyFont="1" applyFill="1" applyBorder="1" applyAlignment="1" applyProtection="1">
      <alignment horizontal="center"/>
    </xf>
    <xf numFmtId="1" fontId="10" fillId="0" borderId="30" xfId="0" applyNumberFormat="1" applyFont="1" applyFill="1" applyBorder="1" applyAlignment="1" applyProtection="1">
      <alignment horizontal="center"/>
    </xf>
    <xf numFmtId="166" fontId="10" fillId="0" borderId="15" xfId="0" applyNumberFormat="1" applyFont="1" applyFill="1" applyBorder="1" applyAlignment="1" applyProtection="1">
      <alignment horizontal="center"/>
    </xf>
    <xf numFmtId="166" fontId="10" fillId="0" borderId="25" xfId="0" applyNumberFormat="1" applyFont="1" applyFill="1" applyBorder="1" applyAlignment="1" applyProtection="1">
      <alignment horizontal="center"/>
    </xf>
    <xf numFmtId="0" fontId="22" fillId="0" borderId="3" xfId="0" applyFont="1" applyBorder="1" applyAlignment="1" applyProtection="1">
      <alignment horizontal="center"/>
    </xf>
    <xf numFmtId="0" fontId="22" fillId="0" borderId="4" xfId="0" applyFont="1" applyBorder="1" applyAlignment="1" applyProtection="1">
      <alignment horizontal="center"/>
    </xf>
    <xf numFmtId="0" fontId="22" fillId="0" borderId="8" xfId="0" applyFont="1" applyBorder="1" applyAlignment="1" applyProtection="1">
      <alignment horizontal="center"/>
    </xf>
    <xf numFmtId="1" fontId="10" fillId="0" borderId="29" xfId="0" applyNumberFormat="1" applyFont="1" applyFill="1" applyBorder="1" applyAlignment="1" applyProtection="1">
      <alignment horizontal="center"/>
    </xf>
    <xf numFmtId="1" fontId="10" fillId="0" borderId="23" xfId="0" applyNumberFormat="1" applyFont="1" applyFill="1" applyBorder="1" applyAlignment="1" applyProtection="1">
      <alignment horizontal="center"/>
    </xf>
    <xf numFmtId="1" fontId="10" fillId="0" borderId="21" xfId="0" applyNumberFormat="1" applyFont="1" applyFill="1" applyBorder="1" applyAlignment="1" applyProtection="1">
      <alignment horizontal="center"/>
    </xf>
    <xf numFmtId="2" fontId="10" fillId="47" borderId="12" xfId="0" applyNumberFormat="1" applyFont="1" applyFill="1" applyBorder="1" applyAlignment="1" applyProtection="1">
      <alignment horizontal="center"/>
    </xf>
    <xf numFmtId="164" fontId="17" fillId="0" borderId="1" xfId="0" applyNumberFormat="1" applyFont="1" applyFill="1" applyBorder="1" applyAlignment="1" applyProtection="1">
      <alignment horizontal="right" vertical="center"/>
    </xf>
    <xf numFmtId="164" fontId="17" fillId="0" borderId="2" xfId="0" applyNumberFormat="1" applyFont="1" applyFill="1" applyBorder="1" applyAlignment="1" applyProtection="1">
      <alignment horizontal="right" vertical="center"/>
    </xf>
    <xf numFmtId="164" fontId="17" fillId="0" borderId="11" xfId="0" applyNumberFormat="1" applyFont="1" applyFill="1" applyBorder="1" applyAlignment="1" applyProtection="1">
      <alignment horizontal="right" vertical="center"/>
    </xf>
    <xf numFmtId="164" fontId="17" fillId="0" borderId="9" xfId="0" applyNumberFormat="1" applyFont="1" applyFill="1" applyBorder="1" applyAlignment="1" applyProtection="1">
      <alignment horizontal="right" vertical="center"/>
    </xf>
    <xf numFmtId="164" fontId="17" fillId="0" borderId="5" xfId="0" applyNumberFormat="1" applyFont="1" applyFill="1" applyBorder="1" applyAlignment="1" applyProtection="1">
      <alignment horizontal="right" vertical="center"/>
    </xf>
    <xf numFmtId="164" fontId="17" fillId="0" borderId="10" xfId="0" applyNumberFormat="1" applyFont="1" applyFill="1" applyBorder="1" applyAlignment="1" applyProtection="1">
      <alignment horizontal="right" vertical="center"/>
    </xf>
    <xf numFmtId="0" fontId="10" fillId="47" borderId="3" xfId="0" applyFont="1" applyFill="1" applyBorder="1" applyAlignment="1" applyProtection="1">
      <alignment horizontal="right"/>
    </xf>
    <xf numFmtId="0" fontId="10" fillId="47" borderId="4" xfId="0" applyFont="1" applyFill="1" applyBorder="1" applyAlignment="1" applyProtection="1">
      <alignment horizontal="right"/>
    </xf>
    <xf numFmtId="49" fontId="10" fillId="47" borderId="4" xfId="0" applyNumberFormat="1" applyFont="1" applyFill="1" applyBorder="1" applyAlignment="1" applyProtection="1">
      <alignment horizontal="left"/>
    </xf>
    <xf numFmtId="49" fontId="10" fillId="47" borderId="8" xfId="0" applyNumberFormat="1" applyFont="1" applyFill="1" applyBorder="1" applyAlignment="1" applyProtection="1">
      <alignment horizontal="left"/>
    </xf>
    <xf numFmtId="0" fontId="46" fillId="0" borderId="3" xfId="0" applyFont="1" applyFill="1" applyBorder="1" applyAlignment="1" applyProtection="1">
      <alignment horizontal="left"/>
    </xf>
    <xf numFmtId="172" fontId="22" fillId="2" borderId="3" xfId="546" applyNumberFormat="1" applyFont="1" applyFill="1" applyBorder="1" applyAlignment="1" applyProtection="1">
      <alignment horizontal="center"/>
    </xf>
    <xf numFmtId="172" fontId="22" fillId="2" borderId="4" xfId="546" applyNumberFormat="1" applyFont="1" applyFill="1" applyBorder="1" applyAlignment="1" applyProtection="1">
      <alignment horizontal="center"/>
    </xf>
    <xf numFmtId="172" fontId="22" fillId="2" borderId="8" xfId="546" applyNumberFormat="1" applyFont="1" applyFill="1" applyBorder="1" applyAlignment="1" applyProtection="1">
      <alignment horizontal="center"/>
    </xf>
    <xf numFmtId="1" fontId="9" fillId="0" borderId="3" xfId="0" applyNumberFormat="1" applyFont="1" applyFill="1" applyBorder="1" applyAlignment="1" applyProtection="1">
      <alignment horizontal="center"/>
    </xf>
    <xf numFmtId="1" fontId="9" fillId="0" borderId="4" xfId="0" applyNumberFormat="1" applyFont="1" applyFill="1" applyBorder="1" applyAlignment="1" applyProtection="1">
      <alignment horizontal="center"/>
    </xf>
    <xf numFmtId="1" fontId="9" fillId="0" borderId="8" xfId="0" applyNumberFormat="1" applyFont="1" applyFill="1" applyBorder="1" applyAlignment="1" applyProtection="1">
      <alignment horizontal="center"/>
    </xf>
    <xf numFmtId="0" fontId="9" fillId="0" borderId="12" xfId="0" applyFont="1" applyBorder="1" applyAlignment="1" applyProtection="1">
      <alignment horizontal="center"/>
    </xf>
    <xf numFmtId="0" fontId="25" fillId="0" borderId="47" xfId="0" applyFont="1" applyBorder="1" applyAlignment="1" applyProtection="1">
      <alignment horizontal="left" wrapText="1"/>
    </xf>
    <xf numFmtId="0" fontId="25" fillId="0" borderId="0" xfId="0" applyFont="1" applyBorder="1" applyAlignment="1" applyProtection="1">
      <alignment horizontal="left" wrapText="1"/>
    </xf>
    <xf numFmtId="0" fontId="9" fillId="0" borderId="47" xfId="0" applyFont="1" applyBorder="1" applyAlignment="1" applyProtection="1">
      <alignment horizontal="center" vertical="top"/>
    </xf>
    <xf numFmtId="0" fontId="9" fillId="0" borderId="48" xfId="0" applyFont="1" applyBorder="1" applyAlignment="1" applyProtection="1">
      <alignment horizontal="center" vertical="top"/>
    </xf>
    <xf numFmtId="0" fontId="19" fillId="50" borderId="2" xfId="0" applyFont="1" applyFill="1" applyBorder="1" applyAlignment="1">
      <alignment horizontal="center"/>
    </xf>
    <xf numFmtId="0" fontId="19" fillId="50" borderId="5" xfId="0" applyFont="1" applyFill="1" applyBorder="1" applyAlignment="1">
      <alignment horizontal="center"/>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9" fillId="0" borderId="12" xfId="0" applyFont="1" applyFill="1" applyBorder="1" applyAlignment="1" applyProtection="1">
      <alignment horizontal="right"/>
    </xf>
    <xf numFmtId="0" fontId="10" fillId="7" borderId="53" xfId="0" applyFont="1" applyFill="1" applyBorder="1" applyAlignment="1" applyProtection="1">
      <alignment horizontal="left" vertical="top" wrapText="1"/>
      <protection locked="0"/>
    </xf>
    <xf numFmtId="0" fontId="25" fillId="0" borderId="47" xfId="0" applyFont="1" applyFill="1" applyBorder="1" applyAlignment="1" applyProtection="1">
      <alignment horizontal="left" vertical="top" wrapText="1"/>
    </xf>
    <xf numFmtId="0" fontId="25" fillId="0" borderId="0" xfId="0" applyFont="1" applyFill="1" applyBorder="1" applyAlignment="1" applyProtection="1">
      <alignment horizontal="left" vertical="top" wrapText="1"/>
    </xf>
    <xf numFmtId="0" fontId="10" fillId="0" borderId="0" xfId="574" applyFont="1" applyFill="1" applyBorder="1" applyAlignment="1" applyProtection="1">
      <alignment horizontal="left" vertical="top" wrapText="1"/>
    </xf>
    <xf numFmtId="0" fontId="10" fillId="0" borderId="0" xfId="0" applyFont="1" applyFill="1" applyBorder="1" applyAlignment="1" applyProtection="1">
      <alignment horizontal="left" vertical="top" wrapText="1" shrinkToFit="1"/>
    </xf>
    <xf numFmtId="1" fontId="10" fillId="0" borderId="22" xfId="0" applyNumberFormat="1" applyFont="1" applyFill="1" applyBorder="1" applyAlignment="1" applyProtection="1">
      <alignment horizontal="center"/>
    </xf>
    <xf numFmtId="0" fontId="10" fillId="7" borderId="53" xfId="0" applyFont="1" applyFill="1" applyBorder="1" applyAlignment="1" applyProtection="1">
      <alignment horizontal="left"/>
      <protection locked="0"/>
    </xf>
    <xf numFmtId="9" fontId="10" fillId="7" borderId="53" xfId="0" applyNumberFormat="1" applyFont="1" applyFill="1" applyBorder="1" applyAlignment="1" applyProtection="1">
      <alignment horizontal="left"/>
      <protection locked="0"/>
    </xf>
    <xf numFmtId="49" fontId="55" fillId="5" borderId="0" xfId="0" applyNumberFormat="1" applyFont="1" applyFill="1" applyBorder="1" applyAlignment="1" applyProtection="1">
      <alignment horizontal="center" vertical="center"/>
    </xf>
    <xf numFmtId="0" fontId="56" fillId="0" borderId="1" xfId="0" applyFont="1" applyBorder="1" applyAlignment="1">
      <alignment horizontal="center" vertical="center"/>
    </xf>
    <xf numFmtId="0" fontId="0" fillId="0" borderId="2" xfId="0" applyBorder="1" applyAlignment="1"/>
    <xf numFmtId="0" fontId="0" fillId="0" borderId="11" xfId="0" applyBorder="1" applyAlignment="1"/>
    <xf numFmtId="0" fontId="0" fillId="0" borderId="9" xfId="0" applyBorder="1" applyAlignment="1"/>
    <xf numFmtId="0" fontId="0" fillId="0" borderId="5" xfId="0" applyBorder="1" applyAlignment="1"/>
    <xf numFmtId="0" fontId="0" fillId="0" borderId="10" xfId="0" applyBorder="1" applyAlignment="1"/>
    <xf numFmtId="0" fontId="7" fillId="0" borderId="5" xfId="0" applyFont="1" applyBorder="1" applyAlignment="1">
      <alignment horizontal="left" vertical="center" wrapText="1"/>
    </xf>
    <xf numFmtId="0" fontId="56" fillId="0" borderId="18" xfId="0" applyFont="1" applyBorder="1" applyAlignment="1">
      <alignment horizontal="center" vertical="center" wrapText="1"/>
    </xf>
    <xf numFmtId="0" fontId="56" fillId="0" borderId="15" xfId="0" applyFont="1" applyBorder="1" applyAlignment="1">
      <alignment horizontal="center" vertical="center" wrapText="1"/>
    </xf>
    <xf numFmtId="0" fontId="56" fillId="0" borderId="18" xfId="273" applyFont="1" applyBorder="1" applyAlignment="1">
      <alignment horizontal="center" vertical="center" wrapText="1"/>
    </xf>
    <xf numFmtId="0" fontId="56" fillId="0" borderId="15" xfId="273" applyFont="1" applyBorder="1" applyAlignment="1">
      <alignment horizontal="center" vertical="center" wrapText="1"/>
    </xf>
    <xf numFmtId="0" fontId="7" fillId="0" borderId="0" xfId="0" applyFont="1" applyBorder="1" applyAlignment="1">
      <alignment horizontal="left" vertical="center" wrapText="1"/>
    </xf>
    <xf numFmtId="0" fontId="7" fillId="0" borderId="4" xfId="0" applyFont="1" applyBorder="1" applyAlignment="1">
      <alignment horizontal="left" vertical="center" wrapText="1"/>
    </xf>
    <xf numFmtId="0" fontId="7" fillId="0" borderId="4" xfId="0" applyFont="1" applyBorder="1" applyAlignment="1">
      <alignment horizontal="left" wrapText="1"/>
    </xf>
    <xf numFmtId="2" fontId="7" fillId="0" borderId="31" xfId="273" applyNumberFormat="1" applyFont="1" applyBorder="1" applyAlignment="1" applyProtection="1">
      <alignment horizontal="center" vertical="center"/>
    </xf>
    <xf numFmtId="2" fontId="7" fillId="0" borderId="32" xfId="273" applyNumberFormat="1" applyFont="1" applyBorder="1" applyAlignment="1" applyProtection="1">
      <alignment horizontal="center" vertical="center"/>
    </xf>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2" fontId="56" fillId="51" borderId="31" xfId="273" applyNumberFormat="1" applyFont="1" applyFill="1" applyBorder="1" applyAlignment="1" applyProtection="1">
      <alignment horizontal="center" vertical="center"/>
    </xf>
    <xf numFmtId="2" fontId="56" fillId="51" borderId="32" xfId="273" applyNumberFormat="1" applyFont="1" applyFill="1" applyBorder="1" applyAlignment="1" applyProtection="1">
      <alignment horizontal="center" vertical="center"/>
    </xf>
    <xf numFmtId="169" fontId="7" fillId="0" borderId="5" xfId="273" applyNumberFormat="1" applyFont="1" applyFill="1" applyBorder="1" applyAlignment="1" applyProtection="1">
      <alignment horizontal="right"/>
    </xf>
    <xf numFmtId="0" fontId="56" fillId="0" borderId="0" xfId="273" applyFont="1" applyFill="1" applyAlignment="1" applyProtection="1">
      <alignment horizontal="left" vertical="top" wrapText="1"/>
    </xf>
    <xf numFmtId="0" fontId="56" fillId="0" borderId="0" xfId="273" applyFont="1" applyAlignment="1" applyProtection="1">
      <alignment horizontal="left" vertical="top" wrapText="1"/>
    </xf>
    <xf numFmtId="169" fontId="7" fillId="7" borderId="5" xfId="273" applyNumberFormat="1" applyFont="1" applyFill="1" applyBorder="1" applyAlignment="1" applyProtection="1">
      <alignment horizontal="right"/>
      <protection locked="0"/>
    </xf>
    <xf numFmtId="169" fontId="56" fillId="0" borderId="5" xfId="273" applyNumberFormat="1" applyFont="1" applyFill="1" applyBorder="1" applyAlignment="1" applyProtection="1">
      <alignment horizontal="right"/>
    </xf>
    <xf numFmtId="169" fontId="7" fillId="7" borderId="4" xfId="273" applyNumberFormat="1" applyFont="1" applyFill="1" applyBorder="1" applyAlignment="1" applyProtection="1">
      <alignment horizontal="right"/>
      <protection locked="0"/>
    </xf>
    <xf numFmtId="169" fontId="7" fillId="0" borderId="4" xfId="273" applyNumberFormat="1" applyFont="1" applyFill="1" applyBorder="1" applyAlignment="1" applyProtection="1">
      <alignment horizontal="right"/>
    </xf>
    <xf numFmtId="169" fontId="7" fillId="0" borderId="0" xfId="273" applyNumberFormat="1" applyFont="1" applyFill="1" applyBorder="1" applyAlignment="1" applyProtection="1">
      <alignment horizontal="left"/>
    </xf>
    <xf numFmtId="169" fontId="7" fillId="0" borderId="0" xfId="273" applyNumberFormat="1" applyFont="1" applyFill="1" applyBorder="1" applyAlignment="1" applyProtection="1">
      <alignment horizontal="right"/>
    </xf>
    <xf numFmtId="0" fontId="7" fillId="0" borderId="0" xfId="273" applyFont="1" applyBorder="1" applyAlignment="1" applyProtection="1">
      <alignment horizontal="center" wrapText="1"/>
    </xf>
    <xf numFmtId="0" fontId="7" fillId="0" borderId="5" xfId="273" applyFont="1" applyBorder="1" applyAlignment="1" applyProtection="1">
      <alignment horizontal="center" wrapText="1"/>
    </xf>
    <xf numFmtId="0" fontId="7" fillId="0" borderId="0" xfId="0" applyFont="1" applyBorder="1" applyAlignment="1" applyProtection="1">
      <alignment horizontal="center" wrapText="1"/>
      <protection locked="0"/>
    </xf>
    <xf numFmtId="0" fontId="7" fillId="0" borderId="5" xfId="0" applyFont="1" applyBorder="1" applyAlignment="1" applyProtection="1">
      <alignment horizontal="center" wrapText="1"/>
      <protection locked="0"/>
    </xf>
    <xf numFmtId="0" fontId="7" fillId="0" borderId="0" xfId="273" applyFont="1" applyAlignment="1" applyProtection="1">
      <alignment horizontal="center" vertical="center"/>
    </xf>
    <xf numFmtId="0" fontId="66" fillId="0" borderId="0" xfId="273" applyFont="1" applyAlignment="1" applyProtection="1">
      <alignment horizontal="right" vertical="center"/>
    </xf>
    <xf numFmtId="0" fontId="7" fillId="0" borderId="0" xfId="273" applyFont="1" applyAlignment="1" applyProtection="1">
      <alignment horizontal="right" vertical="center"/>
    </xf>
    <xf numFmtId="49" fontId="55" fillId="5" borderId="0" xfId="273" applyNumberFormat="1" applyFont="1" applyFill="1" applyBorder="1" applyAlignment="1" applyProtection="1">
      <alignment horizontal="center" vertical="center"/>
    </xf>
    <xf numFmtId="0" fontId="56" fillId="0" borderId="0" xfId="273" applyFont="1" applyBorder="1" applyAlignment="1" applyProtection="1">
      <alignment horizontal="left" vertical="top" wrapText="1"/>
    </xf>
    <xf numFmtId="0" fontId="56" fillId="0" borderId="0" xfId="273" applyFont="1" applyFill="1" applyBorder="1" applyAlignment="1" applyProtection="1">
      <alignment horizontal="left"/>
    </xf>
    <xf numFmtId="0" fontId="58" fillId="0" borderId="0" xfId="273" applyFont="1" applyFill="1" applyBorder="1" applyAlignment="1" applyProtection="1">
      <alignment horizontal="left"/>
    </xf>
    <xf numFmtId="0" fontId="7" fillId="0" borderId="3" xfId="273" applyNumberFormat="1" applyFont="1" applyFill="1" applyBorder="1" applyAlignment="1" applyProtection="1">
      <alignment horizontal="center"/>
    </xf>
    <xf numFmtId="165" fontId="7" fillId="0" borderId="4" xfId="273" applyNumberFormat="1" applyFont="1" applyFill="1" applyBorder="1" applyAlignment="1" applyProtection="1">
      <alignment horizontal="center"/>
    </xf>
    <xf numFmtId="165" fontId="7" fillId="0" borderId="8" xfId="273" applyNumberFormat="1" applyFont="1" applyFill="1" applyBorder="1" applyAlignment="1" applyProtection="1">
      <alignment horizontal="center"/>
    </xf>
    <xf numFmtId="0" fontId="7" fillId="0" borderId="5" xfId="273" applyFont="1" applyFill="1" applyBorder="1" applyAlignment="1" applyProtection="1">
      <alignment horizontal="left"/>
    </xf>
    <xf numFmtId="0" fontId="7" fillId="7" borderId="4" xfId="273" applyFont="1" applyFill="1" applyBorder="1" applyAlignment="1" applyProtection="1">
      <alignment horizontal="left"/>
      <protection locked="0"/>
    </xf>
    <xf numFmtId="0" fontId="59" fillId="0" borderId="2" xfId="273" applyFont="1" applyFill="1" applyBorder="1" applyAlignment="1" applyProtection="1">
      <alignment horizontal="left"/>
    </xf>
    <xf numFmtId="0" fontId="56" fillId="0" borderId="0" xfId="273" applyFont="1" applyFill="1" applyBorder="1" applyAlignment="1" applyProtection="1">
      <alignment horizontal="left" vertical="center"/>
    </xf>
    <xf numFmtId="0" fontId="7" fillId="0" borderId="0" xfId="273" applyFont="1" applyAlignment="1" applyProtection="1">
      <alignment horizontal="left"/>
    </xf>
    <xf numFmtId="0" fontId="56" fillId="0" borderId="0" xfId="273" applyFont="1" applyFill="1" applyBorder="1" applyAlignment="1" applyProtection="1">
      <alignment horizontal="left" vertical="top" wrapText="1"/>
    </xf>
    <xf numFmtId="0" fontId="7" fillId="0" borderId="0" xfId="273" applyFont="1" applyFill="1" applyBorder="1" applyAlignment="1" applyProtection="1">
      <alignment horizontal="left"/>
    </xf>
    <xf numFmtId="0" fontId="56" fillId="0" borderId="0" xfId="273" applyFont="1" applyBorder="1" applyAlignment="1" applyProtection="1">
      <alignment horizontal="left" vertical="center"/>
    </xf>
    <xf numFmtId="0" fontId="56" fillId="0" borderId="0" xfId="273" applyFont="1" applyAlignment="1" applyProtection="1">
      <alignment horizontal="left" vertical="center"/>
    </xf>
    <xf numFmtId="0" fontId="7" fillId="0" borderId="5" xfId="273" applyFont="1" applyBorder="1" applyAlignment="1" applyProtection="1">
      <alignment horizontal="left"/>
    </xf>
    <xf numFmtId="1" fontId="7" fillId="7" borderId="0" xfId="273" applyNumberFormat="1" applyFont="1" applyFill="1" applyBorder="1" applyAlignment="1" applyProtection="1">
      <alignment horizontal="left" vertical="center"/>
      <protection locked="0"/>
    </xf>
    <xf numFmtId="0" fontId="56" fillId="0" borderId="73" xfId="273" applyFont="1" applyBorder="1" applyAlignment="1" applyProtection="1">
      <alignment horizontal="left" vertical="center" wrapText="1"/>
    </xf>
    <xf numFmtId="0" fontId="56" fillId="0" borderId="2" xfId="273" applyFont="1" applyBorder="1" applyAlignment="1" applyProtection="1">
      <alignment horizontal="left" vertical="center" wrapText="1"/>
    </xf>
    <xf numFmtId="0" fontId="56" fillId="0" borderId="49" xfId="273" applyFont="1" applyBorder="1" applyAlignment="1" applyProtection="1">
      <alignment horizontal="left" vertical="center" wrapText="1"/>
    </xf>
    <xf numFmtId="0" fontId="56" fillId="0" borderId="0" xfId="273" applyFont="1" applyBorder="1" applyAlignment="1" applyProtection="1">
      <alignment horizontal="left" vertical="center" wrapText="1"/>
    </xf>
    <xf numFmtId="0" fontId="7" fillId="0" borderId="4" xfId="273" applyFont="1" applyBorder="1" applyAlignment="1" applyProtection="1">
      <alignment horizontal="left"/>
    </xf>
    <xf numFmtId="3" fontId="7" fillId="0" borderId="5" xfId="273" applyNumberFormat="1" applyFont="1" applyFill="1" applyBorder="1" applyAlignment="1" applyProtection="1">
      <alignment horizontal="center"/>
    </xf>
    <xf numFmtId="3" fontId="11" fillId="0" borderId="5" xfId="273" applyNumberFormat="1" applyFill="1" applyBorder="1" applyProtection="1"/>
    <xf numFmtId="0" fontId="53" fillId="0" borderId="0" xfId="273" applyFont="1" applyAlignment="1" applyProtection="1">
      <alignment horizontal="center" vertical="center"/>
    </xf>
    <xf numFmtId="3" fontId="7" fillId="0" borderId="2" xfId="273" applyNumberFormat="1" applyFont="1" applyFill="1" applyBorder="1" applyAlignment="1" applyProtection="1">
      <alignment horizontal="center"/>
    </xf>
    <xf numFmtId="3" fontId="11" fillId="0" borderId="0" xfId="273" applyNumberFormat="1" applyFill="1" applyProtection="1"/>
    <xf numFmtId="1" fontId="7" fillId="7" borderId="4" xfId="273" applyNumberFormat="1" applyFont="1" applyFill="1" applyBorder="1" applyAlignment="1" applyProtection="1">
      <alignment horizontal="right"/>
      <protection locked="0"/>
    </xf>
    <xf numFmtId="0" fontId="7" fillId="0" borderId="2" xfId="273" applyFont="1" applyFill="1" applyBorder="1" applyAlignment="1" applyProtection="1">
      <alignment horizontal="center" vertical="center"/>
    </xf>
    <xf numFmtId="0" fontId="7" fillId="0" borderId="0" xfId="273" applyFont="1" applyFill="1" applyBorder="1" applyAlignment="1" applyProtection="1">
      <alignment horizontal="center" vertical="center"/>
    </xf>
    <xf numFmtId="3" fontId="11" fillId="0" borderId="0" xfId="273" applyNumberFormat="1" applyFont="1" applyAlignment="1">
      <alignment horizontal="left" vertical="top" wrapText="1"/>
    </xf>
    <xf numFmtId="0" fontId="7" fillId="0" borderId="5" xfId="0" applyFont="1" applyBorder="1" applyAlignment="1" applyProtection="1">
      <alignment horizontal="center"/>
    </xf>
    <xf numFmtId="0" fontId="25" fillId="0" borderId="2" xfId="0" applyFont="1" applyBorder="1" applyAlignment="1">
      <alignment horizontal="left"/>
    </xf>
  </cellXfs>
  <cellStyles count="1029">
    <cellStyle name="20% - Accent1" xfId="1" builtinId="30" customBuiltin="1"/>
    <cellStyle name="20% - Accent1 2" xfId="2"/>
    <cellStyle name="20% - Accent1 2 2" xfId="3"/>
    <cellStyle name="20% - Accent1 2 2 2" xfId="4"/>
    <cellStyle name="20% - Accent1 2 2 2 2" xfId="578"/>
    <cellStyle name="20% - Accent1 2 2 3" xfId="577"/>
    <cellStyle name="20% - Accent1 2 3" xfId="5"/>
    <cellStyle name="20% - Accent1 2 3 2" xfId="579"/>
    <cellStyle name="20% - Accent1 2 4" xfId="576"/>
    <cellStyle name="20% - Accent1 3" xfId="6"/>
    <cellStyle name="20% - Accent1 3 2" xfId="7"/>
    <cellStyle name="20% - Accent1 3 2 2" xfId="581"/>
    <cellStyle name="20% - Accent1 3 3" xfId="580"/>
    <cellStyle name="20% - Accent1 4" xfId="8"/>
    <cellStyle name="20% - Accent1 4 2" xfId="582"/>
    <cellStyle name="20% - Accent1 5" xfId="575"/>
    <cellStyle name="20% - Accent2" xfId="9" builtinId="34" customBuiltin="1"/>
    <cellStyle name="20% - Accent2 2" xfId="10"/>
    <cellStyle name="20% - Accent2 2 2" xfId="11"/>
    <cellStyle name="20% - Accent2 2 2 2" xfId="12"/>
    <cellStyle name="20% - Accent2 2 2 2 2" xfId="586"/>
    <cellStyle name="20% - Accent2 2 2 3" xfId="585"/>
    <cellStyle name="20% - Accent2 2 3" xfId="13"/>
    <cellStyle name="20% - Accent2 2 3 2" xfId="587"/>
    <cellStyle name="20% - Accent2 2 4" xfId="584"/>
    <cellStyle name="20% - Accent2 3" xfId="14"/>
    <cellStyle name="20% - Accent2 3 2" xfId="15"/>
    <cellStyle name="20% - Accent2 3 2 2" xfId="589"/>
    <cellStyle name="20% - Accent2 3 3" xfId="588"/>
    <cellStyle name="20% - Accent2 4" xfId="16"/>
    <cellStyle name="20% - Accent2 4 2" xfId="590"/>
    <cellStyle name="20% - Accent2 5" xfId="583"/>
    <cellStyle name="20% - Accent3" xfId="17" builtinId="38" customBuiltin="1"/>
    <cellStyle name="20% - Accent3 2" xfId="18"/>
    <cellStyle name="20% - Accent3 2 2" xfId="19"/>
    <cellStyle name="20% - Accent3 2 2 2" xfId="20"/>
    <cellStyle name="20% - Accent3 2 2 2 2" xfId="594"/>
    <cellStyle name="20% - Accent3 2 2 3" xfId="593"/>
    <cellStyle name="20% - Accent3 2 3" xfId="21"/>
    <cellStyle name="20% - Accent3 2 3 2" xfId="595"/>
    <cellStyle name="20% - Accent3 2 4" xfId="592"/>
    <cellStyle name="20% - Accent3 3" xfId="22"/>
    <cellStyle name="20% - Accent3 3 2" xfId="23"/>
    <cellStyle name="20% - Accent3 3 2 2" xfId="597"/>
    <cellStyle name="20% - Accent3 3 3" xfId="596"/>
    <cellStyle name="20% - Accent3 4" xfId="24"/>
    <cellStyle name="20% - Accent3 4 2" xfId="598"/>
    <cellStyle name="20% - Accent3 5" xfId="591"/>
    <cellStyle name="20% - Accent4" xfId="25" builtinId="42" customBuiltin="1"/>
    <cellStyle name="20% - Accent4 2" xfId="26"/>
    <cellStyle name="20% - Accent4 2 2" xfId="27"/>
    <cellStyle name="20% - Accent4 2 2 2" xfId="28"/>
    <cellStyle name="20% - Accent4 2 2 2 2" xfId="602"/>
    <cellStyle name="20% - Accent4 2 2 3" xfId="601"/>
    <cellStyle name="20% - Accent4 2 3" xfId="29"/>
    <cellStyle name="20% - Accent4 2 3 2" xfId="603"/>
    <cellStyle name="20% - Accent4 2 4" xfId="600"/>
    <cellStyle name="20% - Accent4 3" xfId="30"/>
    <cellStyle name="20% - Accent4 3 2" xfId="31"/>
    <cellStyle name="20% - Accent4 3 2 2" xfId="605"/>
    <cellStyle name="20% - Accent4 3 3" xfId="604"/>
    <cellStyle name="20% - Accent4 4" xfId="32"/>
    <cellStyle name="20% - Accent4 4 2" xfId="606"/>
    <cellStyle name="20% - Accent4 5" xfId="599"/>
    <cellStyle name="20% - Accent5" xfId="33" builtinId="46" customBuiltin="1"/>
    <cellStyle name="20% - Accent5 2" xfId="34"/>
    <cellStyle name="20% - Accent5 2 2" xfId="35"/>
    <cellStyle name="20% - Accent5 2 2 2" xfId="36"/>
    <cellStyle name="20% - Accent5 2 2 2 2" xfId="610"/>
    <cellStyle name="20% - Accent5 2 2 3" xfId="609"/>
    <cellStyle name="20% - Accent5 2 3" xfId="37"/>
    <cellStyle name="20% - Accent5 2 3 2" xfId="611"/>
    <cellStyle name="20% - Accent5 2 4" xfId="608"/>
    <cellStyle name="20% - Accent5 3" xfId="38"/>
    <cellStyle name="20% - Accent5 3 2" xfId="39"/>
    <cellStyle name="20% - Accent5 3 2 2" xfId="613"/>
    <cellStyle name="20% - Accent5 3 3" xfId="612"/>
    <cellStyle name="20% - Accent5 4" xfId="40"/>
    <cellStyle name="20% - Accent5 4 2" xfId="614"/>
    <cellStyle name="20% - Accent5 5" xfId="607"/>
    <cellStyle name="20% - Accent6" xfId="41" builtinId="50" customBuiltin="1"/>
    <cellStyle name="20% - Accent6 2" xfId="42"/>
    <cellStyle name="20% - Accent6 2 2" xfId="43"/>
    <cellStyle name="20% - Accent6 2 2 2" xfId="44"/>
    <cellStyle name="20% - Accent6 2 2 2 2" xfId="618"/>
    <cellStyle name="20% - Accent6 2 2 3" xfId="617"/>
    <cellStyle name="20% - Accent6 2 3" xfId="45"/>
    <cellStyle name="20% - Accent6 2 3 2" xfId="619"/>
    <cellStyle name="20% - Accent6 2 4" xfId="616"/>
    <cellStyle name="20% - Accent6 3" xfId="46"/>
    <cellStyle name="20% - Accent6 3 2" xfId="47"/>
    <cellStyle name="20% - Accent6 3 2 2" xfId="621"/>
    <cellStyle name="20% - Accent6 3 3" xfId="620"/>
    <cellStyle name="20% - Accent6 4" xfId="48"/>
    <cellStyle name="20% - Accent6 4 2" xfId="622"/>
    <cellStyle name="20% - Accent6 5" xfId="615"/>
    <cellStyle name="40% - Accent1" xfId="49" builtinId="31" customBuiltin="1"/>
    <cellStyle name="40% - Accent1 2" xfId="50"/>
    <cellStyle name="40% - Accent1 2 2" xfId="51"/>
    <cellStyle name="40% - Accent1 2 2 2" xfId="52"/>
    <cellStyle name="40% - Accent1 2 2 2 2" xfId="626"/>
    <cellStyle name="40% - Accent1 2 2 3" xfId="625"/>
    <cellStyle name="40% - Accent1 2 3" xfId="53"/>
    <cellStyle name="40% - Accent1 2 3 2" xfId="627"/>
    <cellStyle name="40% - Accent1 2 4" xfId="624"/>
    <cellStyle name="40% - Accent1 3" xfId="54"/>
    <cellStyle name="40% - Accent1 3 2" xfId="55"/>
    <cellStyle name="40% - Accent1 3 2 2" xfId="629"/>
    <cellStyle name="40% - Accent1 3 3" xfId="628"/>
    <cellStyle name="40% - Accent1 4" xfId="56"/>
    <cellStyle name="40% - Accent1 4 2" xfId="630"/>
    <cellStyle name="40% - Accent1 5" xfId="623"/>
    <cellStyle name="40% - Accent2" xfId="57" builtinId="35" customBuiltin="1"/>
    <cellStyle name="40% - Accent2 2" xfId="58"/>
    <cellStyle name="40% - Accent2 2 2" xfId="59"/>
    <cellStyle name="40% - Accent2 2 2 2" xfId="60"/>
    <cellStyle name="40% - Accent2 2 2 2 2" xfId="634"/>
    <cellStyle name="40% - Accent2 2 2 3" xfId="633"/>
    <cellStyle name="40% - Accent2 2 3" xfId="61"/>
    <cellStyle name="40% - Accent2 2 3 2" xfId="635"/>
    <cellStyle name="40% - Accent2 2 4" xfId="632"/>
    <cellStyle name="40% - Accent2 3" xfId="62"/>
    <cellStyle name="40% - Accent2 3 2" xfId="63"/>
    <cellStyle name="40% - Accent2 3 2 2" xfId="637"/>
    <cellStyle name="40% - Accent2 3 3" xfId="636"/>
    <cellStyle name="40% - Accent2 4" xfId="64"/>
    <cellStyle name="40% - Accent2 4 2" xfId="638"/>
    <cellStyle name="40% - Accent2 5" xfId="631"/>
    <cellStyle name="40% - Accent3" xfId="65" builtinId="39" customBuiltin="1"/>
    <cellStyle name="40% - Accent3 2" xfId="66"/>
    <cellStyle name="40% - Accent3 2 2" xfId="67"/>
    <cellStyle name="40% - Accent3 2 2 2" xfId="68"/>
    <cellStyle name="40% - Accent3 2 2 2 2" xfId="642"/>
    <cellStyle name="40% - Accent3 2 2 3" xfId="641"/>
    <cellStyle name="40% - Accent3 2 3" xfId="69"/>
    <cellStyle name="40% - Accent3 2 3 2" xfId="643"/>
    <cellStyle name="40% - Accent3 2 4" xfId="640"/>
    <cellStyle name="40% - Accent3 3" xfId="70"/>
    <cellStyle name="40% - Accent3 3 2" xfId="71"/>
    <cellStyle name="40% - Accent3 3 2 2" xfId="645"/>
    <cellStyle name="40% - Accent3 3 3" xfId="644"/>
    <cellStyle name="40% - Accent3 4" xfId="72"/>
    <cellStyle name="40% - Accent3 4 2" xfId="646"/>
    <cellStyle name="40% - Accent3 5" xfId="639"/>
    <cellStyle name="40% - Accent4" xfId="73" builtinId="43" customBuiltin="1"/>
    <cellStyle name="40% - Accent4 2" xfId="74"/>
    <cellStyle name="40% - Accent4 2 2" xfId="75"/>
    <cellStyle name="40% - Accent4 2 2 2" xfId="76"/>
    <cellStyle name="40% - Accent4 2 2 2 2" xfId="650"/>
    <cellStyle name="40% - Accent4 2 2 3" xfId="649"/>
    <cellStyle name="40% - Accent4 2 3" xfId="77"/>
    <cellStyle name="40% - Accent4 2 3 2" xfId="651"/>
    <cellStyle name="40% - Accent4 2 4" xfId="648"/>
    <cellStyle name="40% - Accent4 3" xfId="78"/>
    <cellStyle name="40% - Accent4 3 2" xfId="79"/>
    <cellStyle name="40% - Accent4 3 2 2" xfId="653"/>
    <cellStyle name="40% - Accent4 3 3" xfId="652"/>
    <cellStyle name="40% - Accent4 4" xfId="80"/>
    <cellStyle name="40% - Accent4 4 2" xfId="654"/>
    <cellStyle name="40% - Accent4 5" xfId="647"/>
    <cellStyle name="40% - Accent5" xfId="81" builtinId="47" customBuiltin="1"/>
    <cellStyle name="40% - Accent5 2" xfId="82"/>
    <cellStyle name="40% - Accent5 2 2" xfId="83"/>
    <cellStyle name="40% - Accent5 2 2 2" xfId="84"/>
    <cellStyle name="40% - Accent5 2 2 2 2" xfId="658"/>
    <cellStyle name="40% - Accent5 2 2 3" xfId="657"/>
    <cellStyle name="40% - Accent5 2 3" xfId="85"/>
    <cellStyle name="40% - Accent5 2 3 2" xfId="659"/>
    <cellStyle name="40% - Accent5 2 4" xfId="656"/>
    <cellStyle name="40% - Accent5 3" xfId="86"/>
    <cellStyle name="40% - Accent5 3 2" xfId="87"/>
    <cellStyle name="40% - Accent5 3 2 2" xfId="661"/>
    <cellStyle name="40% - Accent5 3 3" xfId="660"/>
    <cellStyle name="40% - Accent5 4" xfId="88"/>
    <cellStyle name="40% - Accent5 4 2" xfId="662"/>
    <cellStyle name="40% - Accent5 5" xfId="655"/>
    <cellStyle name="40% - Accent6" xfId="89" builtinId="51" customBuiltin="1"/>
    <cellStyle name="40% - Accent6 2" xfId="90"/>
    <cellStyle name="40% - Accent6 2 2" xfId="91"/>
    <cellStyle name="40% - Accent6 2 2 2" xfId="92"/>
    <cellStyle name="40% - Accent6 2 2 2 2" xfId="666"/>
    <cellStyle name="40% - Accent6 2 2 3" xfId="665"/>
    <cellStyle name="40% - Accent6 2 3" xfId="93"/>
    <cellStyle name="40% - Accent6 2 3 2" xfId="667"/>
    <cellStyle name="40% - Accent6 2 4" xfId="664"/>
    <cellStyle name="40% - Accent6 3" xfId="94"/>
    <cellStyle name="40% - Accent6 3 2" xfId="95"/>
    <cellStyle name="40% - Accent6 3 2 2" xfId="669"/>
    <cellStyle name="40% - Accent6 3 3" xfId="668"/>
    <cellStyle name="40% - Accent6 4" xfId="96"/>
    <cellStyle name="40% - Accent6 4 2" xfId="670"/>
    <cellStyle name="40% - Accent6 5" xfId="663"/>
    <cellStyle name="60% - Accent1" xfId="97" builtinId="32" customBuiltin="1"/>
    <cellStyle name="60% - Accent1 2" xfId="98"/>
    <cellStyle name="60% - Accent2" xfId="99" builtinId="36" customBuiltin="1"/>
    <cellStyle name="60% - Accent3" xfId="100" builtinId="40" customBuiltin="1"/>
    <cellStyle name="60% - Accent3 2" xfId="101"/>
    <cellStyle name="60% - Accent4" xfId="102" builtinId="44" customBuiltin="1"/>
    <cellStyle name="60% - Accent4 2" xfId="103"/>
    <cellStyle name="60% - Accent5" xfId="104" builtinId="48" customBuiltin="1"/>
    <cellStyle name="60% - Accent6" xfId="105" builtinId="52" customBuiltin="1"/>
    <cellStyle name="60% - Accent6 2" xfId="106"/>
    <cellStyle name="Accent1" xfId="107" builtinId="29" customBuiltin="1"/>
    <cellStyle name="Accent1 2" xfId="108"/>
    <cellStyle name="Accent2" xfId="109" builtinId="33" customBuiltin="1"/>
    <cellStyle name="Accent2 2" xfId="110"/>
    <cellStyle name="Accent3" xfId="111" builtinId="37" customBuiltin="1"/>
    <cellStyle name="Accent3 2" xfId="112"/>
    <cellStyle name="Accent4" xfId="113" builtinId="41" customBuiltin="1"/>
    <cellStyle name="Accent4 2" xfId="114"/>
    <cellStyle name="Accent5" xfId="115" builtinId="45" customBuiltin="1"/>
    <cellStyle name="Accent6" xfId="116" builtinId="49" customBuiltin="1"/>
    <cellStyle name="Bad" xfId="117" builtinId="27" customBuiltin="1"/>
    <cellStyle name="Bad 2" xfId="118"/>
    <cellStyle name="Calculation" xfId="119" builtinId="22" customBuiltin="1"/>
    <cellStyle name="Calculation 2" xfId="120"/>
    <cellStyle name="Check Cell" xfId="121" builtinId="23" customBuiltin="1"/>
    <cellStyle name="Comma 2" xfId="122"/>
    <cellStyle name="Comma 2 2" xfId="123"/>
    <cellStyle name="Comma 3" xfId="124"/>
    <cellStyle name="Comma 4" xfId="125"/>
    <cellStyle name="Comma 4 2" xfId="126"/>
    <cellStyle name="Comma 4 2 2" xfId="127"/>
    <cellStyle name="Comma 4 2 2 2" xfId="128"/>
    <cellStyle name="Comma 4 2 2 2 2" xfId="129"/>
    <cellStyle name="Comma 4 2 2 2 2 2" xfId="130"/>
    <cellStyle name="Comma 4 2 2 2 2 2 2" xfId="673"/>
    <cellStyle name="Comma 4 2 2 2 2 3" xfId="672"/>
    <cellStyle name="Comma 4 2 2 2 3" xfId="131"/>
    <cellStyle name="Comma 4 2 2 2 3 2" xfId="674"/>
    <cellStyle name="Comma 4 2 2 2 4" xfId="671"/>
    <cellStyle name="Comma 4 2 2 3" xfId="132"/>
    <cellStyle name="Comma 4 2 2 3 2" xfId="133"/>
    <cellStyle name="Comma 4 2 2 3 2 2" xfId="676"/>
    <cellStyle name="Comma 4 2 2 3 3" xfId="675"/>
    <cellStyle name="Comma 4 2 2 4" xfId="134"/>
    <cellStyle name="Comma 4 2 2 4 2" xfId="677"/>
    <cellStyle name="Comma 4 2 2 5" xfId="135"/>
    <cellStyle name="Comma 4 2 2 5 2" xfId="678"/>
    <cellStyle name="Comma 4 2 3" xfId="136"/>
    <cellStyle name="Comma 4 2 3 2" xfId="137"/>
    <cellStyle name="Comma 4 2 3 2 2" xfId="138"/>
    <cellStyle name="Comma 4 2 3 2 2 2" xfId="681"/>
    <cellStyle name="Comma 4 2 3 2 3" xfId="680"/>
    <cellStyle name="Comma 4 2 3 3" xfId="139"/>
    <cellStyle name="Comma 4 2 3 3 2" xfId="682"/>
    <cellStyle name="Comma 4 2 3 4" xfId="679"/>
    <cellStyle name="Comma 4 2 4" xfId="140"/>
    <cellStyle name="Comma 4 2 4 2" xfId="141"/>
    <cellStyle name="Comma 4 2 4 2 2" xfId="684"/>
    <cellStyle name="Comma 4 2 4 3" xfId="683"/>
    <cellStyle name="Comma 4 2 5" xfId="142"/>
    <cellStyle name="Comma 4 2 5 2" xfId="685"/>
    <cellStyle name="Comma 4 2 6" xfId="143"/>
    <cellStyle name="Comma 4 2 6 2" xfId="686"/>
    <cellStyle name="Comma 4 3" xfId="144"/>
    <cellStyle name="Comma 4 3 2" xfId="145"/>
    <cellStyle name="Comma 4 3 2 2" xfId="146"/>
    <cellStyle name="Comma 4 3 2 2 2" xfId="147"/>
    <cellStyle name="Comma 4 3 2 2 2 2" xfId="689"/>
    <cellStyle name="Comma 4 3 2 2 3" xfId="688"/>
    <cellStyle name="Comma 4 3 2 3" xfId="148"/>
    <cellStyle name="Comma 4 3 2 3 2" xfId="690"/>
    <cellStyle name="Comma 4 3 2 4" xfId="687"/>
    <cellStyle name="Comma 4 3 3" xfId="149"/>
    <cellStyle name="Comma 4 3 3 2" xfId="150"/>
    <cellStyle name="Comma 4 3 3 2 2" xfId="692"/>
    <cellStyle name="Comma 4 3 3 3" xfId="691"/>
    <cellStyle name="Comma 4 3 4" xfId="151"/>
    <cellStyle name="Comma 4 3 4 2" xfId="693"/>
    <cellStyle name="Comma 4 3 5" xfId="152"/>
    <cellStyle name="Comma 4 3 5 2" xfId="694"/>
    <cellStyle name="Comma 4 4" xfId="153"/>
    <cellStyle name="Comma 4 4 2" xfId="154"/>
    <cellStyle name="Comma 4 4 2 2" xfId="155"/>
    <cellStyle name="Comma 4 4 2 2 2" xfId="697"/>
    <cellStyle name="Comma 4 4 2 3" xfId="696"/>
    <cellStyle name="Comma 4 4 3" xfId="156"/>
    <cellStyle name="Comma 4 4 3 2" xfId="698"/>
    <cellStyle name="Comma 4 4 4" xfId="695"/>
    <cellStyle name="Comma 4 5" xfId="157"/>
    <cellStyle name="Comma 4 5 2" xfId="158"/>
    <cellStyle name="Comma 4 5 2 2" xfId="700"/>
    <cellStyle name="Comma 4 5 3" xfId="699"/>
    <cellStyle name="Comma 4 6" xfId="159"/>
    <cellStyle name="Comma 4 6 2" xfId="701"/>
    <cellStyle name="Comma 4 7" xfId="160"/>
    <cellStyle name="Comma 4 7 2" xfId="702"/>
    <cellStyle name="Comma 5" xfId="161"/>
    <cellStyle name="Comma 5 2" xfId="162"/>
    <cellStyle name="Comma 5 2 2" xfId="703"/>
    <cellStyle name="Comma 6" xfId="163"/>
    <cellStyle name="Currency" xfId="164" builtinId="4"/>
    <cellStyle name="Currency 10" xfId="165"/>
    <cellStyle name="Currency 10 2" xfId="166"/>
    <cellStyle name="Currency 10 2 2" xfId="705"/>
    <cellStyle name="Currency 10 3" xfId="167"/>
    <cellStyle name="Currency 10 3 2" xfId="706"/>
    <cellStyle name="Currency 10 4" xfId="168"/>
    <cellStyle name="Currency 10 5" xfId="704"/>
    <cellStyle name="Currency 11" xfId="169"/>
    <cellStyle name="Currency 11 2" xfId="170"/>
    <cellStyle name="Currency 11 2 2" xfId="708"/>
    <cellStyle name="Currency 11 3" xfId="707"/>
    <cellStyle name="Currency 12" xfId="171"/>
    <cellStyle name="Currency 12 2" xfId="709"/>
    <cellStyle name="Currency 2" xfId="172"/>
    <cellStyle name="Currency 2 2" xfId="173"/>
    <cellStyle name="Currency 2 3" xfId="174"/>
    <cellStyle name="Currency 2 3 2" xfId="175"/>
    <cellStyle name="Currency 2 3 2 2" xfId="711"/>
    <cellStyle name="Currency 2 3 3" xfId="176"/>
    <cellStyle name="Currency 2 4" xfId="710"/>
    <cellStyle name="Currency 3" xfId="177"/>
    <cellStyle name="Currency 3 2" xfId="178"/>
    <cellStyle name="Currency 3 2 2" xfId="179"/>
    <cellStyle name="Currency 3 2 2 2" xfId="180"/>
    <cellStyle name="Currency 3 2 2 2 2" xfId="181"/>
    <cellStyle name="Currency 3 2 2 2 2 2" xfId="714"/>
    <cellStyle name="Currency 3 2 2 2 3" xfId="713"/>
    <cellStyle name="Currency 3 2 2 3" xfId="182"/>
    <cellStyle name="Currency 3 2 2 3 2" xfId="715"/>
    <cellStyle name="Currency 3 2 2 4" xfId="712"/>
    <cellStyle name="Currency 3 2 3" xfId="183"/>
    <cellStyle name="Currency 3 2 3 2" xfId="184"/>
    <cellStyle name="Currency 3 2 3 2 2" xfId="717"/>
    <cellStyle name="Currency 3 2 3 3" xfId="716"/>
    <cellStyle name="Currency 3 2 4" xfId="185"/>
    <cellStyle name="Currency 3 2 4 2" xfId="718"/>
    <cellStyle name="Currency 3 2 5" xfId="186"/>
    <cellStyle name="Currency 3 2 5 2" xfId="719"/>
    <cellStyle name="Currency 3 3" xfId="187"/>
    <cellStyle name="Currency 4" xfId="188"/>
    <cellStyle name="Currency 4 2" xfId="189"/>
    <cellStyle name="Currency 4 2 2" xfId="721"/>
    <cellStyle name="Currency 4 3" xfId="190"/>
    <cellStyle name="Currency 4 3 2" xfId="191"/>
    <cellStyle name="Currency 4 3 2 2" xfId="723"/>
    <cellStyle name="Currency 4 3 3" xfId="722"/>
    <cellStyle name="Currency 4 4" xfId="192"/>
    <cellStyle name="Currency 4 5" xfId="193"/>
    <cellStyle name="Currency 4 5 2" xfId="724"/>
    <cellStyle name="Currency 4 6" xfId="720"/>
    <cellStyle name="Currency 5" xfId="194"/>
    <cellStyle name="Currency 5 2" xfId="195"/>
    <cellStyle name="Currency 5 2 2" xfId="196"/>
    <cellStyle name="Currency 5 2 2 2" xfId="197"/>
    <cellStyle name="Currency 5 2 2 2 2" xfId="198"/>
    <cellStyle name="Currency 5 2 2 2 2 2" xfId="199"/>
    <cellStyle name="Currency 5 2 2 2 2 2 2" xfId="729"/>
    <cellStyle name="Currency 5 2 2 2 2 3" xfId="728"/>
    <cellStyle name="Currency 5 2 2 2 3" xfId="200"/>
    <cellStyle name="Currency 5 2 2 2 3 2" xfId="730"/>
    <cellStyle name="Currency 5 2 2 2 4" xfId="727"/>
    <cellStyle name="Currency 5 2 2 3" xfId="201"/>
    <cellStyle name="Currency 5 2 2 3 2" xfId="202"/>
    <cellStyle name="Currency 5 2 2 3 2 2" xfId="732"/>
    <cellStyle name="Currency 5 2 2 3 3" xfId="731"/>
    <cellStyle name="Currency 5 2 2 4" xfId="203"/>
    <cellStyle name="Currency 5 2 2 4 2" xfId="733"/>
    <cellStyle name="Currency 5 2 2 5" xfId="204"/>
    <cellStyle name="Currency 5 2 2 5 2" xfId="734"/>
    <cellStyle name="Currency 5 2 3" xfId="205"/>
    <cellStyle name="Currency 5 2 3 2" xfId="735"/>
    <cellStyle name="Currency 5 2 4" xfId="206"/>
    <cellStyle name="Currency 5 2 4 2" xfId="207"/>
    <cellStyle name="Currency 5 2 4 2 2" xfId="737"/>
    <cellStyle name="Currency 5 2 4 3" xfId="736"/>
    <cellStyle name="Currency 5 2 5" xfId="208"/>
    <cellStyle name="Currency 5 2 5 2" xfId="738"/>
    <cellStyle name="Currency 5 2 6" xfId="209"/>
    <cellStyle name="Currency 5 2 6 2" xfId="739"/>
    <cellStyle name="Currency 5 2 7" xfId="726"/>
    <cellStyle name="Currency 5 3" xfId="210"/>
    <cellStyle name="Currency 5 3 2" xfId="211"/>
    <cellStyle name="Currency 5 3 2 2" xfId="212"/>
    <cellStyle name="Currency 5 3 2 2 2" xfId="213"/>
    <cellStyle name="Currency 5 3 2 2 2 2" xfId="742"/>
    <cellStyle name="Currency 5 3 2 2 3" xfId="741"/>
    <cellStyle name="Currency 5 3 2 3" xfId="214"/>
    <cellStyle name="Currency 5 3 2 3 2" xfId="743"/>
    <cellStyle name="Currency 5 3 2 4" xfId="740"/>
    <cellStyle name="Currency 5 3 3" xfId="215"/>
    <cellStyle name="Currency 5 3 3 2" xfId="216"/>
    <cellStyle name="Currency 5 3 3 2 2" xfId="745"/>
    <cellStyle name="Currency 5 3 3 3" xfId="744"/>
    <cellStyle name="Currency 5 3 4" xfId="217"/>
    <cellStyle name="Currency 5 3 4 2" xfId="746"/>
    <cellStyle name="Currency 5 3 5" xfId="218"/>
    <cellStyle name="Currency 5 3 5 2" xfId="747"/>
    <cellStyle name="Currency 5 4" xfId="219"/>
    <cellStyle name="Currency 5 4 2" xfId="748"/>
    <cellStyle name="Currency 5 5" xfId="220"/>
    <cellStyle name="Currency 5 5 2" xfId="221"/>
    <cellStyle name="Currency 5 5 2 2" xfId="750"/>
    <cellStyle name="Currency 5 5 3" xfId="749"/>
    <cellStyle name="Currency 5 6" xfId="222"/>
    <cellStyle name="Currency 5 6 2" xfId="751"/>
    <cellStyle name="Currency 5 7" xfId="223"/>
    <cellStyle name="Currency 5 7 2" xfId="752"/>
    <cellStyle name="Currency 5 8" xfId="725"/>
    <cellStyle name="Currency 6" xfId="224"/>
    <cellStyle name="Currency 6 2" xfId="225"/>
    <cellStyle name="Currency 6 3" xfId="226"/>
    <cellStyle name="Currency 6 3 2" xfId="754"/>
    <cellStyle name="Currency 6 4" xfId="753"/>
    <cellStyle name="Currency 7" xfId="227"/>
    <cellStyle name="Currency 7 2" xfId="228"/>
    <cellStyle name="Currency 7 2 2" xfId="756"/>
    <cellStyle name="Currency 7 3" xfId="229"/>
    <cellStyle name="Currency 7 3 2" xfId="757"/>
    <cellStyle name="Currency 7 4" xfId="230"/>
    <cellStyle name="Currency 7 4 2" xfId="758"/>
    <cellStyle name="Currency 7 5" xfId="755"/>
    <cellStyle name="Currency 8" xfId="231"/>
    <cellStyle name="Currency 8 2" xfId="232"/>
    <cellStyle name="Currency 8 2 2" xfId="760"/>
    <cellStyle name="Currency 8 3" xfId="759"/>
    <cellStyle name="Currency 9" xfId="233"/>
    <cellStyle name="Currency 9 2" xfId="234"/>
    <cellStyle name="Currency 9 2 2" xfId="762"/>
    <cellStyle name="Currency 9 3" xfId="761"/>
    <cellStyle name="Explanatory Text" xfId="235" builtinId="53" customBuiltin="1"/>
    <cellStyle name="Followed Hyperlink" xfId="1028" builtinId="9" hidden="1"/>
    <cellStyle name="Good" xfId="236" builtinId="26" customBuiltin="1"/>
    <cellStyle name="Heading 1" xfId="237" builtinId="16" customBuiltin="1"/>
    <cellStyle name="Heading 1 2" xfId="238"/>
    <cellStyle name="Heading 2" xfId="239" builtinId="17" customBuiltin="1"/>
    <cellStyle name="Heading 2 2" xfId="240"/>
    <cellStyle name="Heading 3" xfId="241" builtinId="18" customBuiltin="1"/>
    <cellStyle name="Heading 3 2" xfId="242"/>
    <cellStyle name="Heading 4" xfId="243" builtinId="19" customBuiltin="1"/>
    <cellStyle name="Heading 4 2" xfId="244"/>
    <cellStyle name="Hyperlink" xfId="245" builtinId="8"/>
    <cellStyle name="Hyperlink 2" xfId="246"/>
    <cellStyle name="Hyperlink 2 2" xfId="247"/>
    <cellStyle name="Input" xfId="248" builtinId="20" customBuiltin="1"/>
    <cellStyle name="Label" xfId="249"/>
    <cellStyle name="Label No Shade" xfId="250"/>
    <cellStyle name="Label Shaded" xfId="251"/>
    <cellStyle name="Linked Cell" xfId="252" builtinId="24" customBuiltin="1"/>
    <cellStyle name="Neutral" xfId="253" builtinId="28" customBuiltin="1"/>
    <cellStyle name="Normal" xfId="0" builtinId="0"/>
    <cellStyle name="Normal 10" xfId="254"/>
    <cellStyle name="Normal 10 2" xfId="255"/>
    <cellStyle name="Normal 10 3" xfId="256"/>
    <cellStyle name="Normal 11" xfId="257"/>
    <cellStyle name="Normal 11 2" xfId="258"/>
    <cellStyle name="Normal 11 2 3" xfId="259"/>
    <cellStyle name="Normal 11 2 3 2" xfId="763"/>
    <cellStyle name="Normal 11 3" xfId="260"/>
    <cellStyle name="Normal 11 3 2" xfId="764"/>
    <cellStyle name="Normal 12" xfId="261"/>
    <cellStyle name="Normal 12 2" xfId="262"/>
    <cellStyle name="Normal 12 2 2" xfId="263"/>
    <cellStyle name="Normal 12 2 2 2" xfId="264"/>
    <cellStyle name="Normal 12 2 2 2 2" xfId="768"/>
    <cellStyle name="Normal 12 2 2 3" xfId="767"/>
    <cellStyle name="Normal 12 2 3" xfId="265"/>
    <cellStyle name="Normal 12 2 3 2" xfId="769"/>
    <cellStyle name="Normal 12 2 4" xfId="766"/>
    <cellStyle name="Normal 12 3" xfId="266"/>
    <cellStyle name="Normal 12 3 2" xfId="267"/>
    <cellStyle name="Normal 12 3 2 2" xfId="771"/>
    <cellStyle name="Normal 12 3 3" xfId="770"/>
    <cellStyle name="Normal 12 4" xfId="268"/>
    <cellStyle name="Normal 12 4 2" xfId="772"/>
    <cellStyle name="Normal 12 5" xfId="269"/>
    <cellStyle name="Normal 12 6" xfId="765"/>
    <cellStyle name="Normal 13" xfId="270"/>
    <cellStyle name="Normal 13 2" xfId="271"/>
    <cellStyle name="Normal 14" xfId="272"/>
    <cellStyle name="Normal 14 2" xfId="773"/>
    <cellStyle name="Normal 2" xfId="273"/>
    <cellStyle name="Normal 2 2" xfId="274"/>
    <cellStyle name="Normal 2 2 2" xfId="275"/>
    <cellStyle name="Normal 2 2 2 2" xfId="276"/>
    <cellStyle name="Normal 2 2 2 3" xfId="277"/>
    <cellStyle name="Normal 2 2 2 4" xfId="278"/>
    <cellStyle name="Normal 2 2 2 4 2" xfId="775"/>
    <cellStyle name="Normal 2 2 3" xfId="774"/>
    <cellStyle name="Normal 2 3" xfId="279"/>
    <cellStyle name="Normal 2 3 2" xfId="280"/>
    <cellStyle name="Normal 2 4" xfId="281"/>
    <cellStyle name="Normal 2 4 2" xfId="282"/>
    <cellStyle name="Normal 2 4 2 2" xfId="283"/>
    <cellStyle name="Normal 2 4 2 3" xfId="284"/>
    <cellStyle name="Normal 2 4 2 3 2" xfId="285"/>
    <cellStyle name="Normal 2 4 2 3 2 2" xfId="286"/>
    <cellStyle name="Normal 2 4 2 3 2 2 2" xfId="287"/>
    <cellStyle name="Normal 2 4 2 3 2 2 2 2" xfId="780"/>
    <cellStyle name="Normal 2 4 2 3 2 2 3" xfId="779"/>
    <cellStyle name="Normal 2 4 2 3 2 3" xfId="288"/>
    <cellStyle name="Normal 2 4 2 3 2 3 2" xfId="781"/>
    <cellStyle name="Normal 2 4 2 3 2 4" xfId="778"/>
    <cellStyle name="Normal 2 4 2 3 3" xfId="289"/>
    <cellStyle name="Normal 2 4 2 3 3 2" xfId="290"/>
    <cellStyle name="Normal 2 4 2 3 3 2 2" xfId="783"/>
    <cellStyle name="Normal 2 4 2 3 3 3" xfId="782"/>
    <cellStyle name="Normal 2 4 2 3 4" xfId="291"/>
    <cellStyle name="Normal 2 4 2 3 4 2" xfId="784"/>
    <cellStyle name="Normal 2 4 2 3 5" xfId="777"/>
    <cellStyle name="Normal 2 4 2 4" xfId="292"/>
    <cellStyle name="Normal 2 4 2 4 2" xfId="293"/>
    <cellStyle name="Normal 2 4 2 4 2 2" xfId="294"/>
    <cellStyle name="Normal 2 4 2 4 2 2 2" xfId="787"/>
    <cellStyle name="Normal 2 4 2 4 2 3" xfId="786"/>
    <cellStyle name="Normal 2 4 2 4 3" xfId="295"/>
    <cellStyle name="Normal 2 4 2 4 3 2" xfId="788"/>
    <cellStyle name="Normal 2 4 2 4 4" xfId="785"/>
    <cellStyle name="Normal 2 4 2 5" xfId="296"/>
    <cellStyle name="Normal 2 4 2 5 2" xfId="297"/>
    <cellStyle name="Normal 2 4 2 5 2 2" xfId="790"/>
    <cellStyle name="Normal 2 4 2 5 3" xfId="789"/>
    <cellStyle name="Normal 2 4 2 6" xfId="298"/>
    <cellStyle name="Normal 2 4 2 6 2" xfId="791"/>
    <cellStyle name="Normal 2 4 2 7" xfId="776"/>
    <cellStyle name="Normal 2 4 3" xfId="299"/>
    <cellStyle name="Normal 2 4 3 2" xfId="300"/>
    <cellStyle name="Normal 2 4 3 3" xfId="301"/>
    <cellStyle name="Normal 2 4 3 3 2" xfId="302"/>
    <cellStyle name="Normal 2 4 3 3 2 2" xfId="303"/>
    <cellStyle name="Normal 2 4 3 3 2 2 2" xfId="795"/>
    <cellStyle name="Normal 2 4 3 3 2 3" xfId="794"/>
    <cellStyle name="Normal 2 4 3 3 3" xfId="304"/>
    <cellStyle name="Normal 2 4 3 3 3 2" xfId="796"/>
    <cellStyle name="Normal 2 4 3 3 4" xfId="793"/>
    <cellStyle name="Normal 2 4 3 4" xfId="792"/>
    <cellStyle name="Normal 2 4 4" xfId="305"/>
    <cellStyle name="Normal 2 4 5" xfId="306"/>
    <cellStyle name="Normal 2 4 5 2" xfId="307"/>
    <cellStyle name="Normal 2 4 5 2 2" xfId="308"/>
    <cellStyle name="Normal 2 4 5 2 2 2" xfId="309"/>
    <cellStyle name="Normal 2 4 5 2 2 2 2" xfId="800"/>
    <cellStyle name="Normal 2 4 5 2 2 3" xfId="799"/>
    <cellStyle name="Normal 2 4 5 2 3" xfId="310"/>
    <cellStyle name="Normal 2 4 5 2 3 2" xfId="801"/>
    <cellStyle name="Normal 2 4 5 2 4" xfId="798"/>
    <cellStyle name="Normal 2 4 5 3" xfId="311"/>
    <cellStyle name="Normal 2 4 5 3 2" xfId="312"/>
    <cellStyle name="Normal 2 4 5 3 2 2" xfId="803"/>
    <cellStyle name="Normal 2 4 5 3 3" xfId="802"/>
    <cellStyle name="Normal 2 4 5 4" xfId="313"/>
    <cellStyle name="Normal 2 4 5 4 2" xfId="804"/>
    <cellStyle name="Normal 2 4 5 5" xfId="797"/>
    <cellStyle name="Normal 2 4 6" xfId="314"/>
    <cellStyle name="Normal 2 4 7" xfId="315"/>
    <cellStyle name="Normal 2 4 7 2" xfId="316"/>
    <cellStyle name="Normal 2 4 7 2 2" xfId="806"/>
    <cellStyle name="Normal 2 4 7 3" xfId="805"/>
    <cellStyle name="Normal 2 4 8" xfId="317"/>
    <cellStyle name="Normal 2 4 8 2" xfId="807"/>
    <cellStyle name="Normal 2 5" xfId="318"/>
    <cellStyle name="Normal 2 5 2" xfId="319"/>
    <cellStyle name="Normal 2 5 3" xfId="320"/>
    <cellStyle name="Normal 2 5 4" xfId="321"/>
    <cellStyle name="Normal 2 5 4 2" xfId="322"/>
    <cellStyle name="Normal 2 5 4 2 2" xfId="323"/>
    <cellStyle name="Normal 2 5 4 2 2 2" xfId="811"/>
    <cellStyle name="Normal 2 5 4 2 3" xfId="810"/>
    <cellStyle name="Normal 2 5 4 3" xfId="324"/>
    <cellStyle name="Normal 2 5 4 3 2" xfId="812"/>
    <cellStyle name="Normal 2 5 4 4" xfId="809"/>
    <cellStyle name="Normal 2 5 5" xfId="808"/>
    <cellStyle name="Normal 2 6" xfId="325"/>
    <cellStyle name="Normal 2 8" xfId="574"/>
    <cellStyle name="Normal 3" xfId="326"/>
    <cellStyle name="Normal 3 2" xfId="327"/>
    <cellStyle name="Normal 3 2 2" xfId="328"/>
    <cellStyle name="Normal 3 2 2 2" xfId="815"/>
    <cellStyle name="Normal 3 2 3" xfId="329"/>
    <cellStyle name="Normal 3 2 3 2" xfId="330"/>
    <cellStyle name="Normal 3 2 3 2 2" xfId="331"/>
    <cellStyle name="Normal 3 2 3 2 2 2" xfId="818"/>
    <cellStyle name="Normal 3 2 3 2 3" xfId="817"/>
    <cellStyle name="Normal 3 2 3 3" xfId="332"/>
    <cellStyle name="Normal 3 2 3 3 2" xfId="819"/>
    <cellStyle name="Normal 3 2 3 4" xfId="816"/>
    <cellStyle name="Normal 3 2 4" xfId="814"/>
    <cellStyle name="Normal 3 3" xfId="333"/>
    <cellStyle name="Normal 3 3 2" xfId="334"/>
    <cellStyle name="Normal 3 3 3" xfId="335"/>
    <cellStyle name="Normal 3 4" xfId="336"/>
    <cellStyle name="Normal 3 5" xfId="337"/>
    <cellStyle name="Normal 3 6" xfId="813"/>
    <cellStyle name="Normal 4" xfId="338"/>
    <cellStyle name="Normal 4 2" xfId="339"/>
    <cellStyle name="Normal 4 2 2" xfId="340"/>
    <cellStyle name="Normal 4 2 2 2" xfId="341"/>
    <cellStyle name="Normal 4 2 2 3" xfId="342"/>
    <cellStyle name="Normal 4 2 2 3 2" xfId="343"/>
    <cellStyle name="Normal 4 2 2 3 2 2" xfId="344"/>
    <cellStyle name="Normal 4 2 2 3 2 2 2" xfId="345"/>
    <cellStyle name="Normal 4 2 2 3 2 2 2 2" xfId="824"/>
    <cellStyle name="Normal 4 2 2 3 2 2 3" xfId="823"/>
    <cellStyle name="Normal 4 2 2 3 2 3" xfId="346"/>
    <cellStyle name="Normal 4 2 2 3 2 3 2" xfId="825"/>
    <cellStyle name="Normal 4 2 2 3 2 4" xfId="822"/>
    <cellStyle name="Normal 4 2 2 3 3" xfId="347"/>
    <cellStyle name="Normal 4 2 2 3 3 2" xfId="348"/>
    <cellStyle name="Normal 4 2 2 3 3 2 2" xfId="827"/>
    <cellStyle name="Normal 4 2 2 3 3 3" xfId="826"/>
    <cellStyle name="Normal 4 2 2 3 4" xfId="349"/>
    <cellStyle name="Normal 4 2 2 3 4 2" xfId="828"/>
    <cellStyle name="Normal 4 2 2 3 5" xfId="821"/>
    <cellStyle name="Normal 4 2 2 4" xfId="350"/>
    <cellStyle name="Normal 4 2 2 4 2" xfId="351"/>
    <cellStyle name="Normal 4 2 2 4 2 2" xfId="352"/>
    <cellStyle name="Normal 4 2 2 4 2 2 2" xfId="831"/>
    <cellStyle name="Normal 4 2 2 4 2 3" xfId="830"/>
    <cellStyle name="Normal 4 2 2 4 3" xfId="353"/>
    <cellStyle name="Normal 4 2 2 4 3 2" xfId="832"/>
    <cellStyle name="Normal 4 2 2 4 4" xfId="829"/>
    <cellStyle name="Normal 4 2 2 5" xfId="354"/>
    <cellStyle name="Normal 4 2 2 5 2" xfId="355"/>
    <cellStyle name="Normal 4 2 2 5 2 2" xfId="834"/>
    <cellStyle name="Normal 4 2 2 5 3" xfId="833"/>
    <cellStyle name="Normal 4 2 2 6" xfId="356"/>
    <cellStyle name="Normal 4 2 2 6 2" xfId="835"/>
    <cellStyle name="Normal 4 2 2 7" xfId="820"/>
    <cellStyle name="Normal 4 2 3" xfId="357"/>
    <cellStyle name="Normal 4 2 4" xfId="358"/>
    <cellStyle name="Normal 4 2 4 2" xfId="359"/>
    <cellStyle name="Normal 4 2 4 2 2" xfId="360"/>
    <cellStyle name="Normal 4 2 4 2 2 2" xfId="361"/>
    <cellStyle name="Normal 4 2 4 2 2 2 2" xfId="839"/>
    <cellStyle name="Normal 4 2 4 2 2 3" xfId="838"/>
    <cellStyle name="Normal 4 2 4 2 3" xfId="362"/>
    <cellStyle name="Normal 4 2 4 2 3 2" xfId="840"/>
    <cellStyle name="Normal 4 2 4 2 4" xfId="837"/>
    <cellStyle name="Normal 4 2 4 3" xfId="363"/>
    <cellStyle name="Normal 4 2 4 3 2" xfId="364"/>
    <cellStyle name="Normal 4 2 4 3 2 2" xfId="842"/>
    <cellStyle name="Normal 4 2 4 3 3" xfId="841"/>
    <cellStyle name="Normal 4 2 4 4" xfId="365"/>
    <cellStyle name="Normal 4 2 4 4 2" xfId="843"/>
    <cellStyle name="Normal 4 2 4 5" xfId="836"/>
    <cellStyle name="Normal 4 2 5" xfId="366"/>
    <cellStyle name="Normal 4 2 5 2" xfId="367"/>
    <cellStyle name="Normal 4 2 5 2 2" xfId="845"/>
    <cellStyle name="Normal 4 2 5 3" xfId="844"/>
    <cellStyle name="Normal 4 2 6" xfId="368"/>
    <cellStyle name="Normal 4 2 6 2" xfId="846"/>
    <cellStyle name="Normal 4 3" xfId="369"/>
    <cellStyle name="Normal 4 3 2" xfId="370"/>
    <cellStyle name="Normal 4 3 2 2" xfId="371"/>
    <cellStyle name="Normal 4 3 2 2 2" xfId="372"/>
    <cellStyle name="Normal 4 3 2 2 2 2" xfId="373"/>
    <cellStyle name="Normal 4 3 2 2 2 2 2" xfId="374"/>
    <cellStyle name="Normal 4 3 2 2 2 2 2 2" xfId="851"/>
    <cellStyle name="Normal 4 3 2 2 2 2 3" xfId="850"/>
    <cellStyle name="Normal 4 3 2 2 2 3" xfId="375"/>
    <cellStyle name="Normal 4 3 2 2 2 3 2" xfId="852"/>
    <cellStyle name="Normal 4 3 2 2 2 4" xfId="849"/>
    <cellStyle name="Normal 4 3 2 3" xfId="376"/>
    <cellStyle name="Normal 4 3 2 3 2" xfId="853"/>
    <cellStyle name="Normal 4 3 2 4" xfId="848"/>
    <cellStyle name="Normal 4 3 3" xfId="377"/>
    <cellStyle name="Normal 4 3 3 2" xfId="378"/>
    <cellStyle name="Normal 4 3 3 2 2" xfId="379"/>
    <cellStyle name="Normal 4 3 3 2 2 2" xfId="856"/>
    <cellStyle name="Normal 4 3 3 2 3" xfId="855"/>
    <cellStyle name="Normal 4 3 3 3" xfId="380"/>
    <cellStyle name="Normal 4 3 3 3 2" xfId="857"/>
    <cellStyle name="Normal 4 3 3 4" xfId="854"/>
    <cellStyle name="Normal 4 3 4" xfId="847"/>
    <cellStyle name="Normal 4 4" xfId="381"/>
    <cellStyle name="Normal 4 4 2" xfId="382"/>
    <cellStyle name="Normal 4 4 2 2" xfId="383"/>
    <cellStyle name="Normal 4 4 2 2 2" xfId="384"/>
    <cellStyle name="Normal 4 4 2 2 2 2" xfId="385"/>
    <cellStyle name="Normal 4 4 2 2 2 2 2" xfId="862"/>
    <cellStyle name="Normal 4 4 2 2 2 3" xfId="861"/>
    <cellStyle name="Normal 4 4 2 2 3" xfId="386"/>
    <cellStyle name="Normal 4 4 2 2 3 2" xfId="863"/>
    <cellStyle name="Normal 4 4 2 2 4" xfId="860"/>
    <cellStyle name="Normal 4 4 2 3" xfId="387"/>
    <cellStyle name="Normal 4 4 2 3 2" xfId="388"/>
    <cellStyle name="Normal 4 4 2 3 2 2" xfId="865"/>
    <cellStyle name="Normal 4 4 2 3 3" xfId="864"/>
    <cellStyle name="Normal 4 4 2 4" xfId="389"/>
    <cellStyle name="Normal 4 4 2 4 2" xfId="866"/>
    <cellStyle name="Normal 4 4 2 5" xfId="859"/>
    <cellStyle name="Normal 4 4 3" xfId="390"/>
    <cellStyle name="Normal 4 4 3 2" xfId="391"/>
    <cellStyle name="Normal 4 4 3 2 2" xfId="392"/>
    <cellStyle name="Normal 4 4 3 2 2 2" xfId="869"/>
    <cellStyle name="Normal 4 4 3 2 3" xfId="868"/>
    <cellStyle name="Normal 4 4 3 3" xfId="393"/>
    <cellStyle name="Normal 4 4 3 3 2" xfId="870"/>
    <cellStyle name="Normal 4 4 3 4" xfId="867"/>
    <cellStyle name="Normal 4 4 4" xfId="394"/>
    <cellStyle name="Normal 4 4 4 2" xfId="395"/>
    <cellStyle name="Normal 4 4 4 2 2" xfId="872"/>
    <cellStyle name="Normal 4 4 4 3" xfId="871"/>
    <cellStyle name="Normal 4 4 5" xfId="396"/>
    <cellStyle name="Normal 4 4 5 2" xfId="873"/>
    <cellStyle name="Normal 4 4 6" xfId="858"/>
    <cellStyle name="Normal 4 5" xfId="397"/>
    <cellStyle name="Normal 4 6" xfId="398"/>
    <cellStyle name="Normal 4 6 2" xfId="399"/>
    <cellStyle name="Normal 4 6 2 2" xfId="400"/>
    <cellStyle name="Normal 4 6 2 2 2" xfId="401"/>
    <cellStyle name="Normal 4 6 2 2 2 2" xfId="877"/>
    <cellStyle name="Normal 4 6 2 2 3" xfId="876"/>
    <cellStyle name="Normal 4 6 2 3" xfId="402"/>
    <cellStyle name="Normal 4 6 2 3 2" xfId="878"/>
    <cellStyle name="Normal 4 6 2 4" xfId="875"/>
    <cellStyle name="Normal 4 6 3" xfId="403"/>
    <cellStyle name="Normal 4 6 3 2" xfId="404"/>
    <cellStyle name="Normal 4 6 3 2 2" xfId="880"/>
    <cellStyle name="Normal 4 6 3 3" xfId="879"/>
    <cellStyle name="Normal 4 6 4" xfId="405"/>
    <cellStyle name="Normal 4 6 4 2" xfId="881"/>
    <cellStyle name="Normal 4 6 5" xfId="874"/>
    <cellStyle name="Normal 4 7" xfId="406"/>
    <cellStyle name="Normal 4 7 2" xfId="407"/>
    <cellStyle name="Normal 4 7 2 2" xfId="883"/>
    <cellStyle name="Normal 4 7 3" xfId="882"/>
    <cellStyle name="Normal 4 8" xfId="408"/>
    <cellStyle name="Normal 4 8 2" xfId="884"/>
    <cellStyle name="Normal 5" xfId="409"/>
    <cellStyle name="Normal 5 2" xfId="410"/>
    <cellStyle name="Normal 5 2 2" xfId="411"/>
    <cellStyle name="Normal 5 2 2 2" xfId="412"/>
    <cellStyle name="Normal 5 2 2 2 2" xfId="413"/>
    <cellStyle name="Normal 5 2 2 2 2 2" xfId="414"/>
    <cellStyle name="Normal 5 2 2 2 2 2 2" xfId="415"/>
    <cellStyle name="Normal 5 2 2 2 2 2 2 2" xfId="891"/>
    <cellStyle name="Normal 5 2 2 2 2 2 3" xfId="890"/>
    <cellStyle name="Normal 5 2 2 2 2 3" xfId="416"/>
    <cellStyle name="Normal 5 2 2 2 2 3 2" xfId="892"/>
    <cellStyle name="Normal 5 2 2 2 2 4" xfId="889"/>
    <cellStyle name="Normal 5 2 2 2 3" xfId="417"/>
    <cellStyle name="Normal 5 2 2 2 3 2" xfId="418"/>
    <cellStyle name="Normal 5 2 2 2 3 2 2" xfId="894"/>
    <cellStyle name="Normal 5 2 2 2 3 3" xfId="893"/>
    <cellStyle name="Normal 5 2 2 2 4" xfId="419"/>
    <cellStyle name="Normal 5 2 2 2 4 2" xfId="895"/>
    <cellStyle name="Normal 5 2 2 2 5" xfId="888"/>
    <cellStyle name="Normal 5 2 2 3" xfId="420"/>
    <cellStyle name="Normal 5 2 2 3 2" xfId="421"/>
    <cellStyle name="Normal 5 2 2 3 2 2" xfId="422"/>
    <cellStyle name="Normal 5 2 2 3 2 2 2" xfId="898"/>
    <cellStyle name="Normal 5 2 2 3 2 3" xfId="897"/>
    <cellStyle name="Normal 5 2 2 3 3" xfId="423"/>
    <cellStyle name="Normal 5 2 2 3 3 2" xfId="899"/>
    <cellStyle name="Normal 5 2 2 3 4" xfId="896"/>
    <cellStyle name="Normal 5 2 2 4" xfId="424"/>
    <cellStyle name="Normal 5 2 2 4 2" xfId="425"/>
    <cellStyle name="Normal 5 2 2 4 2 2" xfId="901"/>
    <cellStyle name="Normal 5 2 2 4 3" xfId="900"/>
    <cellStyle name="Normal 5 2 2 5" xfId="426"/>
    <cellStyle name="Normal 5 2 2 5 2" xfId="902"/>
    <cellStyle name="Normal 5 2 2 6" xfId="887"/>
    <cellStyle name="Normal 5 2 3" xfId="427"/>
    <cellStyle name="Normal 5 2 3 2" xfId="428"/>
    <cellStyle name="Normal 5 2 3 2 2" xfId="429"/>
    <cellStyle name="Normal 5 2 3 2 2 2" xfId="430"/>
    <cellStyle name="Normal 5 2 3 2 2 2 2" xfId="906"/>
    <cellStyle name="Normal 5 2 3 2 2 3" xfId="905"/>
    <cellStyle name="Normal 5 2 3 2 3" xfId="431"/>
    <cellStyle name="Normal 5 2 3 2 3 2" xfId="907"/>
    <cellStyle name="Normal 5 2 3 2 4" xfId="904"/>
    <cellStyle name="Normal 5 2 3 3" xfId="432"/>
    <cellStyle name="Normal 5 2 3 3 2" xfId="433"/>
    <cellStyle name="Normal 5 2 3 3 2 2" xfId="909"/>
    <cellStyle name="Normal 5 2 3 3 3" xfId="908"/>
    <cellStyle name="Normal 5 2 3 4" xfId="434"/>
    <cellStyle name="Normal 5 2 3 4 2" xfId="910"/>
    <cellStyle name="Normal 5 2 3 5" xfId="903"/>
    <cellStyle name="Normal 5 2 4" xfId="435"/>
    <cellStyle name="Normal 5 2 4 2" xfId="436"/>
    <cellStyle name="Normal 5 2 4 2 2" xfId="437"/>
    <cellStyle name="Normal 5 2 4 2 2 2" xfId="913"/>
    <cellStyle name="Normal 5 2 4 2 3" xfId="912"/>
    <cellStyle name="Normal 5 2 4 3" xfId="438"/>
    <cellStyle name="Normal 5 2 4 3 2" xfId="914"/>
    <cellStyle name="Normal 5 2 4 4" xfId="911"/>
    <cellStyle name="Normal 5 2 5" xfId="439"/>
    <cellStyle name="Normal 5 2 5 2" xfId="440"/>
    <cellStyle name="Normal 5 2 5 2 2" xfId="916"/>
    <cellStyle name="Normal 5 2 5 3" xfId="915"/>
    <cellStyle name="Normal 5 2 6" xfId="441"/>
    <cellStyle name="Normal 5 2 6 2" xfId="917"/>
    <cellStyle name="Normal 5 2 7" xfId="886"/>
    <cellStyle name="Normal 5 3" xfId="442"/>
    <cellStyle name="Normal 5 3 2" xfId="443"/>
    <cellStyle name="Normal 5 3 2 2" xfId="919"/>
    <cellStyle name="Normal 5 3 3" xfId="444"/>
    <cellStyle name="Normal 5 3 3 2" xfId="445"/>
    <cellStyle name="Normal 5 3 3 2 2" xfId="446"/>
    <cellStyle name="Normal 5 3 3 2 2 2" xfId="447"/>
    <cellStyle name="Normal 5 3 3 2 2 2 2" xfId="923"/>
    <cellStyle name="Normal 5 3 3 2 2 3" xfId="922"/>
    <cellStyle name="Normal 5 3 3 2 3" xfId="448"/>
    <cellStyle name="Normal 5 3 3 2 3 2" xfId="924"/>
    <cellStyle name="Normal 5 3 3 2 4" xfId="921"/>
    <cellStyle name="Normal 5 3 3 3" xfId="449"/>
    <cellStyle name="Normal 5 3 3 3 2" xfId="450"/>
    <cellStyle name="Normal 5 3 3 3 2 2" xfId="926"/>
    <cellStyle name="Normal 5 3 3 3 3" xfId="925"/>
    <cellStyle name="Normal 5 3 3 4" xfId="451"/>
    <cellStyle name="Normal 5 3 3 4 2" xfId="927"/>
    <cellStyle name="Normal 5 3 3 5" xfId="920"/>
    <cellStyle name="Normal 5 3 4" xfId="452"/>
    <cellStyle name="Normal 5 3 4 2" xfId="453"/>
    <cellStyle name="Normal 5 3 4 2 2" xfId="454"/>
    <cellStyle name="Normal 5 3 4 2 2 2" xfId="930"/>
    <cellStyle name="Normal 5 3 4 2 3" xfId="929"/>
    <cellStyle name="Normal 5 3 4 3" xfId="455"/>
    <cellStyle name="Normal 5 3 4 3 2" xfId="931"/>
    <cellStyle name="Normal 5 3 4 4" xfId="928"/>
    <cellStyle name="Normal 5 3 5" xfId="456"/>
    <cellStyle name="Normal 5 3 5 2" xfId="457"/>
    <cellStyle name="Normal 5 3 5 2 2" xfId="933"/>
    <cellStyle name="Normal 5 3 5 3" xfId="932"/>
    <cellStyle name="Normal 5 3 6" xfId="458"/>
    <cellStyle name="Normal 5 3 6 2" xfId="934"/>
    <cellStyle name="Normal 5 3 7" xfId="918"/>
    <cellStyle name="Normal 5 4" xfId="459"/>
    <cellStyle name="Normal 5 4 2" xfId="460"/>
    <cellStyle name="Normal 5 4 2 2" xfId="461"/>
    <cellStyle name="Normal 5 4 2 2 2" xfId="462"/>
    <cellStyle name="Normal 5 4 2 2 2 2" xfId="938"/>
    <cellStyle name="Normal 5 4 2 2 3" xfId="937"/>
    <cellStyle name="Normal 5 4 2 3" xfId="463"/>
    <cellStyle name="Normal 5 4 2 3 2" xfId="939"/>
    <cellStyle name="Normal 5 4 2 4" xfId="936"/>
    <cellStyle name="Normal 5 4 3" xfId="464"/>
    <cellStyle name="Normal 5 4 3 2" xfId="465"/>
    <cellStyle name="Normal 5 4 3 2 2" xfId="941"/>
    <cellStyle name="Normal 5 4 3 3" xfId="940"/>
    <cellStyle name="Normal 5 4 4" xfId="466"/>
    <cellStyle name="Normal 5 4 4 2" xfId="942"/>
    <cellStyle name="Normal 5 4 5" xfId="935"/>
    <cellStyle name="Normal 5 5" xfId="467"/>
    <cellStyle name="Normal 5 5 2" xfId="468"/>
    <cellStyle name="Normal 5 5 2 2" xfId="469"/>
    <cellStyle name="Normal 5 5 2 2 2" xfId="945"/>
    <cellStyle name="Normal 5 5 2 3" xfId="944"/>
    <cellStyle name="Normal 5 5 3" xfId="470"/>
    <cellStyle name="Normal 5 5 3 2" xfId="946"/>
    <cellStyle name="Normal 5 5 4" xfId="943"/>
    <cellStyle name="Normal 5 6" xfId="471"/>
    <cellStyle name="Normal 5 6 2" xfId="472"/>
    <cellStyle name="Normal 5 6 2 2" xfId="948"/>
    <cellStyle name="Normal 5 6 3" xfId="947"/>
    <cellStyle name="Normal 5 7" xfId="473"/>
    <cellStyle name="Normal 5 7 2" xfId="949"/>
    <cellStyle name="Normal 5 8" xfId="885"/>
    <cellStyle name="Normal 6" xfId="474"/>
    <cellStyle name="Normal 6 2" xfId="475"/>
    <cellStyle name="Normal 6 3" xfId="476"/>
    <cellStyle name="Normal 6 3 2" xfId="477"/>
    <cellStyle name="Normal 6 3 3" xfId="478"/>
    <cellStyle name="Normal 7" xfId="479"/>
    <cellStyle name="Normal 7 2" xfId="480"/>
    <cellStyle name="Normal 8" xfId="481"/>
    <cellStyle name="Normal 8 2" xfId="482"/>
    <cellStyle name="Normal 8 2 2" xfId="483"/>
    <cellStyle name="Normal 8 2 2 2" xfId="484"/>
    <cellStyle name="Normal 8 2 2 2 2" xfId="485"/>
    <cellStyle name="Normal 8 2 2 2 2 2" xfId="486"/>
    <cellStyle name="Normal 8 2 2 2 2 2 2" xfId="955"/>
    <cellStyle name="Normal 8 2 2 2 2 3" xfId="954"/>
    <cellStyle name="Normal 8 2 2 2 3" xfId="487"/>
    <cellStyle name="Normal 8 2 2 2 3 2" xfId="956"/>
    <cellStyle name="Normal 8 2 2 2 4" xfId="953"/>
    <cellStyle name="Normal 8 2 2 3" xfId="488"/>
    <cellStyle name="Normal 8 2 2 3 2" xfId="489"/>
    <cellStyle name="Normal 8 2 2 3 2 2" xfId="958"/>
    <cellStyle name="Normal 8 2 2 3 3" xfId="957"/>
    <cellStyle name="Normal 8 2 2 4" xfId="490"/>
    <cellStyle name="Normal 8 2 2 4 2" xfId="959"/>
    <cellStyle name="Normal 8 2 2 5" xfId="952"/>
    <cellStyle name="Normal 8 2 3" xfId="491"/>
    <cellStyle name="Normal 8 2 3 2" xfId="492"/>
    <cellStyle name="Normal 8 2 3 2 2" xfId="493"/>
    <cellStyle name="Normal 8 2 3 2 2 2" xfId="962"/>
    <cellStyle name="Normal 8 2 3 2 3" xfId="961"/>
    <cellStyle name="Normal 8 2 3 3" xfId="494"/>
    <cellStyle name="Normal 8 2 3 3 2" xfId="963"/>
    <cellStyle name="Normal 8 2 3 4" xfId="960"/>
    <cellStyle name="Normal 8 2 4" xfId="495"/>
    <cellStyle name="Normal 8 2 4 2" xfId="496"/>
    <cellStyle name="Normal 8 2 4 2 2" xfId="965"/>
    <cellStyle name="Normal 8 2 4 3" xfId="964"/>
    <cellStyle name="Normal 8 2 5" xfId="497"/>
    <cellStyle name="Normal 8 2 5 2" xfId="966"/>
    <cellStyle name="Normal 8 2 6" xfId="951"/>
    <cellStyle name="Normal 8 3" xfId="498"/>
    <cellStyle name="Normal 8 3 2" xfId="499"/>
    <cellStyle name="Normal 8 3 2 2" xfId="500"/>
    <cellStyle name="Normal 8 3 2 2 2" xfId="501"/>
    <cellStyle name="Normal 8 3 2 2 2 2" xfId="970"/>
    <cellStyle name="Normal 8 3 2 2 3" xfId="969"/>
    <cellStyle name="Normal 8 3 2 3" xfId="502"/>
    <cellStyle name="Normal 8 3 2 3 2" xfId="971"/>
    <cellStyle name="Normal 8 3 2 4" xfId="968"/>
    <cellStyle name="Normal 8 3 3" xfId="503"/>
    <cellStyle name="Normal 8 3 3 2" xfId="504"/>
    <cellStyle name="Normal 8 3 3 2 2" xfId="973"/>
    <cellStyle name="Normal 8 3 3 3" xfId="972"/>
    <cellStyle name="Normal 8 3 4" xfId="505"/>
    <cellStyle name="Normal 8 3 4 2" xfId="974"/>
    <cellStyle name="Normal 8 3 5" xfId="967"/>
    <cellStyle name="Normal 8 4" xfId="506"/>
    <cellStyle name="Normal 8 4 2" xfId="507"/>
    <cellStyle name="Normal 8 4 2 2" xfId="508"/>
    <cellStyle name="Normal 8 4 2 2 2" xfId="977"/>
    <cellStyle name="Normal 8 4 2 3" xfId="976"/>
    <cellStyle name="Normal 8 4 3" xfId="509"/>
    <cellStyle name="Normal 8 4 3 2" xfId="978"/>
    <cellStyle name="Normal 8 4 4" xfId="975"/>
    <cellStyle name="Normal 8 5" xfId="510"/>
    <cellStyle name="Normal 8 5 2" xfId="511"/>
    <cellStyle name="Normal 8 5 2 2" xfId="980"/>
    <cellStyle name="Normal 8 5 3" xfId="979"/>
    <cellStyle name="Normal 8 6" xfId="512"/>
    <cellStyle name="Normal 8 6 2" xfId="981"/>
    <cellStyle name="Normal 8 7" xfId="950"/>
    <cellStyle name="Normal 9" xfId="513"/>
    <cellStyle name="Normal 9 2" xfId="514"/>
    <cellStyle name="Normal 9 2 2" xfId="515"/>
    <cellStyle name="Normal 9 2 2 2" xfId="516"/>
    <cellStyle name="Normal 9 2 2 2 2" xfId="517"/>
    <cellStyle name="Normal 9 2 2 2 2 2" xfId="518"/>
    <cellStyle name="Normal 9 2 2 2 2 2 2" xfId="987"/>
    <cellStyle name="Normal 9 2 2 2 2 3" xfId="986"/>
    <cellStyle name="Normal 9 2 2 2 3" xfId="519"/>
    <cellStyle name="Normal 9 2 2 2 3 2" xfId="988"/>
    <cellStyle name="Normal 9 2 2 2 4" xfId="985"/>
    <cellStyle name="Normal 9 2 2 3" xfId="520"/>
    <cellStyle name="Normal 9 2 2 3 2" xfId="521"/>
    <cellStyle name="Normal 9 2 2 3 2 2" xfId="990"/>
    <cellStyle name="Normal 9 2 2 3 3" xfId="989"/>
    <cellStyle name="Normal 9 2 2 4" xfId="522"/>
    <cellStyle name="Normal 9 2 2 4 2" xfId="991"/>
    <cellStyle name="Normal 9 2 2 5" xfId="984"/>
    <cellStyle name="Normal 9 2 3" xfId="523"/>
    <cellStyle name="Normal 9 2 3 2" xfId="524"/>
    <cellStyle name="Normal 9 2 3 2 2" xfId="525"/>
    <cellStyle name="Normal 9 2 3 2 2 2" xfId="994"/>
    <cellStyle name="Normal 9 2 3 2 3" xfId="993"/>
    <cellStyle name="Normal 9 2 3 3" xfId="526"/>
    <cellStyle name="Normal 9 2 3 3 2" xfId="995"/>
    <cellStyle name="Normal 9 2 3 4" xfId="992"/>
    <cellStyle name="Normal 9 2 4" xfId="527"/>
    <cellStyle name="Normal 9 2 4 2" xfId="528"/>
    <cellStyle name="Normal 9 2 4 2 2" xfId="997"/>
    <cellStyle name="Normal 9 2 4 3" xfId="996"/>
    <cellStyle name="Normal 9 2 5" xfId="529"/>
    <cellStyle name="Normal 9 2 5 2" xfId="998"/>
    <cellStyle name="Normal 9 2 6" xfId="983"/>
    <cellStyle name="Normal 9 3" xfId="530"/>
    <cellStyle name="Normal 9 3 2" xfId="531"/>
    <cellStyle name="Normal 9 3 2 2" xfId="532"/>
    <cellStyle name="Normal 9 3 2 2 2" xfId="533"/>
    <cellStyle name="Normal 9 3 2 2 2 2" xfId="1002"/>
    <cellStyle name="Normal 9 3 2 2 3" xfId="1001"/>
    <cellStyle name="Normal 9 3 2 3" xfId="534"/>
    <cellStyle name="Normal 9 3 2 3 2" xfId="1003"/>
    <cellStyle name="Normal 9 3 2 4" xfId="1000"/>
    <cellStyle name="Normal 9 3 3" xfId="535"/>
    <cellStyle name="Normal 9 3 3 2" xfId="536"/>
    <cellStyle name="Normal 9 3 3 2 2" xfId="1005"/>
    <cellStyle name="Normal 9 3 3 3" xfId="1004"/>
    <cellStyle name="Normal 9 3 4" xfId="537"/>
    <cellStyle name="Normal 9 3 4 2" xfId="1006"/>
    <cellStyle name="Normal 9 3 5" xfId="999"/>
    <cellStyle name="Normal 9 4" xfId="538"/>
    <cellStyle name="Normal 9 4 2" xfId="1007"/>
    <cellStyle name="Normal 9 5" xfId="539"/>
    <cellStyle name="Normal 9 5 2" xfId="540"/>
    <cellStyle name="Normal 9 5 2 2" xfId="1009"/>
    <cellStyle name="Normal 9 5 3" xfId="1008"/>
    <cellStyle name="Normal 9 6" xfId="541"/>
    <cellStyle name="Normal 9 6 2" xfId="1010"/>
    <cellStyle name="Normal 9 7" xfId="982"/>
    <cellStyle name="Normal_07-190 basis matrix" xfId="542"/>
    <cellStyle name="Normal_07-190 basis matrix 2" xfId="543"/>
    <cellStyle name="Normal_1" xfId="544"/>
    <cellStyle name="Normal_100%RENTS" xfId="545"/>
    <cellStyle name="Normal_CTCAC 9% Application 7-18-07 practice run 3" xfId="546"/>
    <cellStyle name="Normal_CTCAC 9% Application 7-18-07 practice run 3 2" xfId="547"/>
    <cellStyle name="Note 2" xfId="548"/>
    <cellStyle name="Note 2 2" xfId="549"/>
    <cellStyle name="Note 2 2 2" xfId="550"/>
    <cellStyle name="Note 2 2 2 2" xfId="551"/>
    <cellStyle name="Note 2 2 2 2 2" xfId="1013"/>
    <cellStyle name="Note 2 2 2 3" xfId="1012"/>
    <cellStyle name="Note 2 2 3" xfId="552"/>
    <cellStyle name="Note 2 2 3 2" xfId="1014"/>
    <cellStyle name="Note 2 2 4" xfId="1011"/>
    <cellStyle name="Note 2 3" xfId="553"/>
    <cellStyle name="Note 2 3 2" xfId="554"/>
    <cellStyle name="Note 2 3 2 2" xfId="1016"/>
    <cellStyle name="Note 2 3 3" xfId="1015"/>
    <cellStyle name="Note 2 4" xfId="555"/>
    <cellStyle name="Note 2 4 2" xfId="1017"/>
    <cellStyle name="Note 2 5" xfId="556"/>
    <cellStyle name="Note 2 5 2" xfId="1018"/>
    <cellStyle name="Note 3" xfId="557"/>
    <cellStyle name="Note 3 2" xfId="558"/>
    <cellStyle name="Note 3 2 2" xfId="559"/>
    <cellStyle name="Note 3 2 2 2" xfId="560"/>
    <cellStyle name="Note 3 2 2 2 2" xfId="1021"/>
    <cellStyle name="Note 3 2 2 3" xfId="1020"/>
    <cellStyle name="Note 3 2 3" xfId="561"/>
    <cellStyle name="Note 3 2 3 2" xfId="1022"/>
    <cellStyle name="Note 3 2 4" xfId="1019"/>
    <cellStyle name="Note 3 3" xfId="562"/>
    <cellStyle name="Note 3 3 2" xfId="563"/>
    <cellStyle name="Note 3 3 2 2" xfId="1024"/>
    <cellStyle name="Note 3 3 3" xfId="1023"/>
    <cellStyle name="Note 3 4" xfId="564"/>
    <cellStyle name="Note 3 4 2" xfId="1025"/>
    <cellStyle name="Note 3 5" xfId="565"/>
    <cellStyle name="Note 3 5 2" xfId="1026"/>
    <cellStyle name="Output" xfId="566" builtinId="21" customBuiltin="1"/>
    <cellStyle name="Output 2" xfId="567"/>
    <cellStyle name="Percent" xfId="573" builtinId="5"/>
    <cellStyle name="Percent 2" xfId="1027"/>
    <cellStyle name="Text Entry" xfId="568"/>
    <cellStyle name="Title 2" xfId="569"/>
    <cellStyle name="Total" xfId="570" builtinId="25" customBuiltin="1"/>
    <cellStyle name="Total 2" xfId="571"/>
    <cellStyle name="Warning Text" xfId="572" builtinId="11" customBuiltin="1"/>
  </cellStyles>
  <dxfs count="149">
    <dxf>
      <font>
        <condense val="0"/>
        <extend val="0"/>
        <color indexed="10"/>
      </font>
    </dxf>
    <dxf>
      <font>
        <condense val="0"/>
        <extend val="0"/>
        <color indexed="10"/>
      </font>
    </dxf>
    <dxf>
      <font>
        <color rgb="FF9C0006"/>
      </font>
      <fill>
        <patternFill>
          <bgColor rgb="FFFFC7CE"/>
        </patternFill>
      </fill>
    </dxf>
    <dxf>
      <font>
        <condense val="0"/>
        <extend val="0"/>
        <color indexed="9"/>
      </font>
    </dxf>
    <dxf>
      <font>
        <condense val="0"/>
        <extend val="0"/>
        <color indexed="9"/>
      </font>
    </dxf>
    <dxf>
      <font>
        <condense val="0"/>
        <extend val="0"/>
        <color indexed="1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10"/>
      </font>
    </dxf>
    <dxf>
      <font>
        <condense val="0"/>
        <extend val="0"/>
        <color indexed="10"/>
      </font>
    </dxf>
    <dxf>
      <font>
        <condense val="0"/>
        <extend val="0"/>
        <color indexed="9"/>
      </font>
    </dxf>
    <dxf>
      <font>
        <condense val="0"/>
        <extend val="0"/>
        <color indexed="9"/>
      </font>
    </dxf>
    <dxf>
      <font>
        <condense val="0"/>
        <extend val="0"/>
        <color indexed="1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16</xdr:row>
      <xdr:rowOff>0</xdr:rowOff>
    </xdr:from>
    <xdr:to>
      <xdr:col>6</xdr:col>
      <xdr:colOff>403860</xdr:colOff>
      <xdr:row>17</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21</xdr:row>
      <xdr:rowOff>7620</xdr:rowOff>
    </xdr:from>
    <xdr:to>
      <xdr:col>0</xdr:col>
      <xdr:colOff>114300</xdr:colOff>
      <xdr:row>55</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62</xdr:row>
      <xdr:rowOff>0</xdr:rowOff>
    </xdr:from>
    <xdr:to>
      <xdr:col>0</xdr:col>
      <xdr:colOff>533400</xdr:colOff>
      <xdr:row>70</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62</xdr:row>
      <xdr:rowOff>0</xdr:rowOff>
    </xdr:from>
    <xdr:to>
      <xdr:col>9</xdr:col>
      <xdr:colOff>38100</xdr:colOff>
      <xdr:row>70</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6</xdr:col>
      <xdr:colOff>403860</xdr:colOff>
      <xdr:row>16</xdr:row>
      <xdr:rowOff>0</xdr:rowOff>
    </xdr:from>
    <xdr:to>
      <xdr:col>9</xdr:col>
      <xdr:colOff>594360</xdr:colOff>
      <xdr:row>17</xdr:row>
      <xdr:rowOff>2078</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2065020" cy="16002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21</xdr:row>
      <xdr:rowOff>0</xdr:rowOff>
    </xdr:from>
    <xdr:to>
      <xdr:col>9</xdr:col>
      <xdr:colOff>594360</xdr:colOff>
      <xdr:row>55</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52</xdr:row>
          <xdr:rowOff>0</xdr:rowOff>
        </xdr:from>
        <xdr:to>
          <xdr:col>0</xdr:col>
          <xdr:colOff>0</xdr:colOff>
          <xdr:row>1048572</xdr:row>
          <xdr:rowOff>106680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15</xdr:col>
      <xdr:colOff>45720</xdr:colOff>
      <xdr:row>0</xdr:row>
      <xdr:rowOff>121920</xdr:rowOff>
    </xdr:from>
    <xdr:to>
      <xdr:col>21</xdr:col>
      <xdr:colOff>114300</xdr:colOff>
      <xdr:row>7</xdr:row>
      <xdr:rowOff>144780</xdr:rowOff>
    </xdr:to>
    <xdr:pic>
      <xdr:nvPicPr>
        <xdr:cNvPr id="77032" name="Picture 4">
          <a:extLst>
            <a:ext uri="{FF2B5EF4-FFF2-40B4-BE49-F238E27FC236}">
              <a16:creationId xmlns:a16="http://schemas.microsoft.com/office/drawing/2014/main" id="{00000000-0008-0000-0300-0000E82C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74620" y="121920"/>
          <a:ext cx="1272540" cy="119634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017%209%25%20Application%206.1.2017.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016%204%25%20Application%20Fed%20and%20State%201-8-16.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2008%209%25%20-%20Basis%20Matrix%20-%20Feas%20-%20100%25%20Rents%20-%20(goes%20with%20applicat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App Completion"/>
      <sheetName val="Instructions-Electronic Submit"/>
      <sheetName val="Checklist Items "/>
      <sheetName val="Application"/>
      <sheetName val="Sources and Uses Budget"/>
      <sheetName val="Basis and Credits"/>
      <sheetName val="Points System"/>
      <sheetName val="Service Amenities Budget"/>
      <sheetName val="Final Tie Breaker Self-Score"/>
      <sheetName val="15 Year Pro Forma"/>
      <sheetName val="Subsidy Contract Calculation"/>
      <sheetName val="Applicant Notes"/>
      <sheetName val="Post-award Instructions"/>
      <sheetName val="SCE Basis and Credits"/>
      <sheetName val="FCE Basis and Credits"/>
      <sheetName val="Post-award Project Cost Changes"/>
    </sheetNames>
    <sheetDataSet>
      <sheetData sheetId="0"/>
      <sheetData sheetId="1"/>
      <sheetData sheetId="2"/>
      <sheetData sheetId="3" refreshError="1">
        <row r="200">
          <cell r="T200" t="str">
            <v>No</v>
          </cell>
        </row>
        <row r="211">
          <cell r="AP211" t="str">
            <v>N/A</v>
          </cell>
        </row>
        <row r="212">
          <cell r="AP212" t="e">
            <v>#N/A</v>
          </cell>
        </row>
        <row r="213">
          <cell r="AP213" t="e">
            <v>#N/A</v>
          </cell>
        </row>
        <row r="214">
          <cell r="AP214" t="e">
            <v>#N/A</v>
          </cell>
        </row>
        <row r="215">
          <cell r="AP215" t="e">
            <v>#N/A</v>
          </cell>
        </row>
        <row r="216">
          <cell r="AP216" t="e">
            <v>#N/A</v>
          </cell>
        </row>
        <row r="217">
          <cell r="AP217" t="e">
            <v>#N/A</v>
          </cell>
        </row>
        <row r="218">
          <cell r="AP218" t="e">
            <v>#N/A</v>
          </cell>
        </row>
        <row r="219">
          <cell r="AP219" t="str">
            <v>At-Risk</v>
          </cell>
        </row>
        <row r="220">
          <cell r="AP220" t="e">
            <v>#N/A</v>
          </cell>
        </row>
        <row r="673">
          <cell r="BC673" t="str">
            <v>County</v>
          </cell>
          <cell r="BD673" t="e">
            <v>#N/A</v>
          </cell>
          <cell r="BE673" t="e">
            <v>#N/A</v>
          </cell>
          <cell r="BF673" t="str">
            <v>2 Bedrooms</v>
          </cell>
          <cell r="BG673" t="str">
            <v>3 Bedrooms</v>
          </cell>
          <cell r="BH673" t="str">
            <v>4 Bedrooms</v>
          </cell>
          <cell r="BI673" t="e">
            <v>#N/A</v>
          </cell>
        </row>
        <row r="674">
          <cell r="BC674" t="str">
            <v>Alameda</v>
          </cell>
          <cell r="BD674">
            <v>1826</v>
          </cell>
          <cell r="BE674">
            <v>1956</v>
          </cell>
          <cell r="BF674">
            <v>2346</v>
          </cell>
          <cell r="BG674">
            <v>2712</v>
          </cell>
          <cell r="BH674">
            <v>3024</v>
          </cell>
          <cell r="BI674">
            <v>3338</v>
          </cell>
        </row>
        <row r="675">
          <cell r="BC675" t="str">
            <v>Alpine</v>
          </cell>
          <cell r="BD675">
            <v>1364</v>
          </cell>
          <cell r="BE675">
            <v>1462</v>
          </cell>
          <cell r="BF675">
            <v>1754</v>
          </cell>
          <cell r="BG675">
            <v>2028</v>
          </cell>
          <cell r="BH675">
            <v>2262</v>
          </cell>
          <cell r="BI675">
            <v>2496</v>
          </cell>
        </row>
        <row r="676">
          <cell r="BC676" t="e">
            <v>#N/A</v>
          </cell>
          <cell r="BD676">
            <v>1242</v>
          </cell>
          <cell r="BE676">
            <v>1330</v>
          </cell>
          <cell r="BF676">
            <v>1596</v>
          </cell>
          <cell r="BG676">
            <v>1842</v>
          </cell>
          <cell r="BH676">
            <v>2056</v>
          </cell>
          <cell r="BI676">
            <v>2270</v>
          </cell>
        </row>
        <row r="677">
          <cell r="BC677" t="e">
            <v>#N/A</v>
          </cell>
          <cell r="BD677">
            <v>1096</v>
          </cell>
          <cell r="BE677">
            <v>1174</v>
          </cell>
          <cell r="BF677">
            <v>1410</v>
          </cell>
          <cell r="BG677">
            <v>1628</v>
          </cell>
          <cell r="BH677">
            <v>1816</v>
          </cell>
          <cell r="BI677">
            <v>2004</v>
          </cell>
        </row>
        <row r="678">
          <cell r="BC678" t="str">
            <v>Calaveras</v>
          </cell>
          <cell r="BD678">
            <v>1212</v>
          </cell>
          <cell r="BE678">
            <v>1298</v>
          </cell>
          <cell r="BF678">
            <v>1556</v>
          </cell>
          <cell r="BG678">
            <v>1800</v>
          </cell>
          <cell r="BH678">
            <v>2006</v>
          </cell>
          <cell r="BI678">
            <v>2216</v>
          </cell>
        </row>
        <row r="679">
          <cell r="BC679" t="str">
            <v>Colusa</v>
          </cell>
          <cell r="BD679">
            <v>1050</v>
          </cell>
          <cell r="BE679">
            <v>1124</v>
          </cell>
          <cell r="BF679">
            <v>1350</v>
          </cell>
          <cell r="BG679">
            <v>1556</v>
          </cell>
          <cell r="BH679">
            <v>1736</v>
          </cell>
          <cell r="BI679">
            <v>1916</v>
          </cell>
        </row>
        <row r="680">
          <cell r="BC680" t="str">
            <v>Contra Costa</v>
          </cell>
          <cell r="BD680">
            <v>1826</v>
          </cell>
          <cell r="BE680">
            <v>1956</v>
          </cell>
          <cell r="BF680">
            <v>2346</v>
          </cell>
          <cell r="BG680">
            <v>2712</v>
          </cell>
          <cell r="BH680">
            <v>3024</v>
          </cell>
          <cell r="BI680">
            <v>3338</v>
          </cell>
        </row>
        <row r="681">
          <cell r="BC681" t="str">
            <v>Del Norte</v>
          </cell>
          <cell r="BD681">
            <v>1050</v>
          </cell>
          <cell r="BE681">
            <v>1124</v>
          </cell>
          <cell r="BF681">
            <v>1350</v>
          </cell>
          <cell r="BG681">
            <v>1556</v>
          </cell>
          <cell r="BH681">
            <v>1736</v>
          </cell>
          <cell r="BI681">
            <v>1916</v>
          </cell>
        </row>
        <row r="682">
          <cell r="BC682" t="str">
            <v>El Dorado</v>
          </cell>
          <cell r="BD682">
            <v>1300</v>
          </cell>
          <cell r="BE682">
            <v>1392</v>
          </cell>
          <cell r="BF682">
            <v>1670</v>
          </cell>
          <cell r="BG682">
            <v>1930</v>
          </cell>
          <cell r="BH682">
            <v>2152</v>
          </cell>
          <cell r="BI682">
            <v>2376</v>
          </cell>
        </row>
        <row r="683">
          <cell r="BC683" t="str">
            <v>Fresno</v>
          </cell>
          <cell r="BD683">
            <v>1050</v>
          </cell>
          <cell r="BE683">
            <v>1124</v>
          </cell>
          <cell r="BF683">
            <v>1350</v>
          </cell>
          <cell r="BG683">
            <v>1556</v>
          </cell>
          <cell r="BH683">
            <v>1736</v>
          </cell>
          <cell r="BI683">
            <v>1916</v>
          </cell>
        </row>
        <row r="684">
          <cell r="BC684" t="str">
            <v>Glenn</v>
          </cell>
          <cell r="BD684">
            <v>1050</v>
          </cell>
          <cell r="BE684">
            <v>1124</v>
          </cell>
          <cell r="BF684">
            <v>1350</v>
          </cell>
          <cell r="BG684">
            <v>1556</v>
          </cell>
          <cell r="BH684">
            <v>1736</v>
          </cell>
          <cell r="BI684">
            <v>1916</v>
          </cell>
        </row>
        <row r="685">
          <cell r="BC685" t="str">
            <v>Humboldt</v>
          </cell>
          <cell r="BD685">
            <v>1050</v>
          </cell>
          <cell r="BE685">
            <v>1124</v>
          </cell>
          <cell r="BF685">
            <v>1350</v>
          </cell>
          <cell r="BG685">
            <v>1556</v>
          </cell>
          <cell r="BH685">
            <v>1736</v>
          </cell>
          <cell r="BI685">
            <v>1916</v>
          </cell>
        </row>
        <row r="686">
          <cell r="BC686" t="str">
            <v>Imperial</v>
          </cell>
          <cell r="BD686">
            <v>1050</v>
          </cell>
          <cell r="BE686">
            <v>1124</v>
          </cell>
          <cell r="BF686">
            <v>1350</v>
          </cell>
          <cell r="BG686">
            <v>1556</v>
          </cell>
          <cell r="BH686">
            <v>1736</v>
          </cell>
          <cell r="BI686">
            <v>1926</v>
          </cell>
        </row>
        <row r="687">
          <cell r="BC687" t="str">
            <v>Inyo</v>
          </cell>
          <cell r="BD687">
            <v>1246</v>
          </cell>
          <cell r="BE687">
            <v>1336</v>
          </cell>
          <cell r="BF687">
            <v>1602</v>
          </cell>
          <cell r="BG687">
            <v>1850</v>
          </cell>
          <cell r="BH687">
            <v>2064</v>
          </cell>
          <cell r="BI687">
            <v>2278</v>
          </cell>
        </row>
        <row r="688">
          <cell r="BC688" t="str">
            <v>Kern</v>
          </cell>
          <cell r="BD688">
            <v>1050</v>
          </cell>
          <cell r="BE688">
            <v>1124</v>
          </cell>
          <cell r="BF688">
            <v>1350</v>
          </cell>
          <cell r="BG688">
            <v>1556</v>
          </cell>
          <cell r="BH688">
            <v>1736</v>
          </cell>
          <cell r="BI688">
            <v>1916</v>
          </cell>
        </row>
        <row r="689">
          <cell r="BC689" t="str">
            <v>Kings</v>
          </cell>
          <cell r="BD689">
            <v>1050</v>
          </cell>
          <cell r="BE689">
            <v>1124</v>
          </cell>
          <cell r="BF689">
            <v>1350</v>
          </cell>
          <cell r="BG689">
            <v>1556</v>
          </cell>
          <cell r="BH689">
            <v>1736</v>
          </cell>
          <cell r="BI689">
            <v>1916</v>
          </cell>
        </row>
        <row r="690">
          <cell r="BC690" t="str">
            <v>Lake</v>
          </cell>
          <cell r="BD690">
            <v>1050</v>
          </cell>
          <cell r="BE690">
            <v>1124</v>
          </cell>
          <cell r="BF690">
            <v>1350</v>
          </cell>
          <cell r="BG690">
            <v>1556</v>
          </cell>
          <cell r="BH690">
            <v>1736</v>
          </cell>
          <cell r="BI690">
            <v>1916</v>
          </cell>
        </row>
        <row r="691">
          <cell r="BC691" t="str">
            <v>Lassen</v>
          </cell>
          <cell r="BD691">
            <v>1204</v>
          </cell>
          <cell r="BE691">
            <v>1290</v>
          </cell>
          <cell r="BF691">
            <v>1550</v>
          </cell>
          <cell r="BG691">
            <v>1790</v>
          </cell>
          <cell r="BH691">
            <v>1996</v>
          </cell>
          <cell r="BI691">
            <v>2202</v>
          </cell>
        </row>
        <row r="692">
          <cell r="BC692" t="str">
            <v>Los Angeles</v>
          </cell>
          <cell r="BD692">
            <v>1576</v>
          </cell>
          <cell r="BE692">
            <v>1690</v>
          </cell>
          <cell r="BF692">
            <v>2026</v>
          </cell>
          <cell r="BG692">
            <v>2342</v>
          </cell>
          <cell r="BH692">
            <v>2614</v>
          </cell>
          <cell r="BI692">
            <v>2884</v>
          </cell>
        </row>
        <row r="693">
          <cell r="BC693" t="str">
            <v>Madera</v>
          </cell>
          <cell r="BD693">
            <v>1050</v>
          </cell>
          <cell r="BE693">
            <v>1124</v>
          </cell>
          <cell r="BF693">
            <v>1350</v>
          </cell>
          <cell r="BG693">
            <v>1556</v>
          </cell>
          <cell r="BH693">
            <v>1736</v>
          </cell>
          <cell r="BI693">
            <v>1916</v>
          </cell>
        </row>
        <row r="694">
          <cell r="BC694" t="str">
            <v>Marin</v>
          </cell>
          <cell r="BD694">
            <v>2304</v>
          </cell>
          <cell r="BE694">
            <v>2468</v>
          </cell>
          <cell r="BF694">
            <v>2962</v>
          </cell>
          <cell r="BG694">
            <v>3422</v>
          </cell>
          <cell r="BH694">
            <v>3816</v>
          </cell>
          <cell r="BI694">
            <v>4212</v>
          </cell>
        </row>
        <row r="695">
          <cell r="BC695" t="str">
            <v>Mariposa</v>
          </cell>
          <cell r="BD695">
            <v>1146</v>
          </cell>
          <cell r="BE695">
            <v>1228</v>
          </cell>
          <cell r="BF695">
            <v>1474</v>
          </cell>
          <cell r="BG695">
            <v>1702</v>
          </cell>
          <cell r="BH695">
            <v>1900</v>
          </cell>
          <cell r="BI695">
            <v>2096</v>
          </cell>
        </row>
        <row r="696">
          <cell r="BC696" t="str">
            <v>Mendocino</v>
          </cell>
          <cell r="BD696">
            <v>1052</v>
          </cell>
          <cell r="BE696">
            <v>1126</v>
          </cell>
          <cell r="BF696">
            <v>1352</v>
          </cell>
          <cell r="BG696">
            <v>1562</v>
          </cell>
          <cell r="BH696">
            <v>1744</v>
          </cell>
          <cell r="BI696">
            <v>1924</v>
          </cell>
        </row>
        <row r="697">
          <cell r="BC697" t="str">
            <v>Merced</v>
          </cell>
          <cell r="BD697">
            <v>1050</v>
          </cell>
          <cell r="BE697">
            <v>1124</v>
          </cell>
          <cell r="BF697">
            <v>1350</v>
          </cell>
          <cell r="BG697">
            <v>1556</v>
          </cell>
          <cell r="BH697">
            <v>1736</v>
          </cell>
          <cell r="BI697">
            <v>1916</v>
          </cell>
        </row>
        <row r="698">
          <cell r="BC698" t="str">
            <v>Modoc</v>
          </cell>
          <cell r="BD698">
            <v>1050</v>
          </cell>
          <cell r="BE698">
            <v>1124</v>
          </cell>
          <cell r="BF698">
            <v>1350</v>
          </cell>
          <cell r="BG698">
            <v>1556</v>
          </cell>
          <cell r="BH698">
            <v>1736</v>
          </cell>
          <cell r="BI698">
            <v>1916</v>
          </cell>
        </row>
        <row r="699">
          <cell r="BC699" t="str">
            <v>Mono</v>
          </cell>
          <cell r="BD699">
            <v>1326</v>
          </cell>
          <cell r="BE699">
            <v>1422</v>
          </cell>
          <cell r="BF699">
            <v>1706</v>
          </cell>
          <cell r="BG699">
            <v>1970</v>
          </cell>
          <cell r="BH699">
            <v>2200</v>
          </cell>
          <cell r="BI699">
            <v>2426</v>
          </cell>
        </row>
        <row r="700">
          <cell r="BC700" t="str">
            <v>Monterey</v>
          </cell>
          <cell r="BD700">
            <v>1424</v>
          </cell>
          <cell r="BE700">
            <v>1526</v>
          </cell>
          <cell r="BF700">
            <v>1832</v>
          </cell>
          <cell r="BG700">
            <v>2116</v>
          </cell>
          <cell r="BH700">
            <v>2362</v>
          </cell>
          <cell r="BI700">
            <v>2606</v>
          </cell>
        </row>
        <row r="701">
          <cell r="BC701" t="str">
            <v>Napa</v>
          </cell>
          <cell r="BD701">
            <v>1630</v>
          </cell>
          <cell r="BE701">
            <v>1746</v>
          </cell>
          <cell r="BF701">
            <v>2094</v>
          </cell>
          <cell r="BG701">
            <v>2420</v>
          </cell>
          <cell r="BH701">
            <v>2700</v>
          </cell>
          <cell r="BI701">
            <v>2980</v>
          </cell>
        </row>
        <row r="702">
          <cell r="BC702" t="e">
            <v>#N/A</v>
          </cell>
          <cell r="BD702">
            <v>1336</v>
          </cell>
          <cell r="BE702">
            <v>1432</v>
          </cell>
          <cell r="BF702">
            <v>1716</v>
          </cell>
          <cell r="BG702">
            <v>1984</v>
          </cell>
          <cell r="BH702">
            <v>2214</v>
          </cell>
          <cell r="BI702">
            <v>2442</v>
          </cell>
        </row>
        <row r="703">
          <cell r="BC703" t="e">
            <v>#N/A</v>
          </cell>
          <cell r="BD703">
            <v>1826</v>
          </cell>
          <cell r="BE703">
            <v>1956</v>
          </cell>
          <cell r="BF703">
            <v>2346</v>
          </cell>
          <cell r="BG703">
            <v>2712</v>
          </cell>
          <cell r="BH703">
            <v>3024</v>
          </cell>
          <cell r="BI703">
            <v>3338</v>
          </cell>
        </row>
        <row r="704">
          <cell r="BC704" t="e">
            <v>#N/A</v>
          </cell>
          <cell r="BD704">
            <v>1300</v>
          </cell>
          <cell r="BE704">
            <v>1392</v>
          </cell>
          <cell r="BF704">
            <v>1670</v>
          </cell>
          <cell r="BG704">
            <v>1930</v>
          </cell>
          <cell r="BH704">
            <v>2152</v>
          </cell>
          <cell r="BI704">
            <v>2376</v>
          </cell>
        </row>
        <row r="705">
          <cell r="BC705" t="e">
            <v>#N/A</v>
          </cell>
          <cell r="BD705">
            <v>1096</v>
          </cell>
          <cell r="BE705">
            <v>1174</v>
          </cell>
          <cell r="BF705">
            <v>1410</v>
          </cell>
          <cell r="BG705">
            <v>1628</v>
          </cell>
          <cell r="BH705">
            <v>1816</v>
          </cell>
          <cell r="BI705">
            <v>2004</v>
          </cell>
        </row>
        <row r="706">
          <cell r="BC706" t="str">
            <v>Riverside</v>
          </cell>
          <cell r="BD706">
            <v>1130</v>
          </cell>
          <cell r="BE706">
            <v>1210</v>
          </cell>
          <cell r="BF706">
            <v>1452</v>
          </cell>
          <cell r="BG706">
            <v>1676</v>
          </cell>
          <cell r="BH706">
            <v>1872</v>
          </cell>
          <cell r="BI706">
            <v>2064</v>
          </cell>
        </row>
        <row r="707">
          <cell r="BC707" t="str">
            <v>Sacramento</v>
          </cell>
          <cell r="BD707">
            <v>1300</v>
          </cell>
          <cell r="BE707">
            <v>1392</v>
          </cell>
          <cell r="BF707">
            <v>1670</v>
          </cell>
          <cell r="BG707">
            <v>1930</v>
          </cell>
          <cell r="BH707">
            <v>2152</v>
          </cell>
          <cell r="BI707">
            <v>2376</v>
          </cell>
        </row>
        <row r="708">
          <cell r="BC708" t="str">
            <v>San Benito</v>
          </cell>
          <cell r="BD708">
            <v>1464</v>
          </cell>
          <cell r="BE708">
            <v>1568</v>
          </cell>
          <cell r="BF708">
            <v>1882</v>
          </cell>
          <cell r="BG708">
            <v>2172</v>
          </cell>
          <cell r="BH708">
            <v>2424</v>
          </cell>
          <cell r="BI708">
            <v>2676</v>
          </cell>
        </row>
        <row r="709">
          <cell r="BC709" t="str">
            <v>San Bernardino</v>
          </cell>
          <cell r="BD709">
            <v>1130</v>
          </cell>
          <cell r="BE709">
            <v>1210</v>
          </cell>
          <cell r="BF709">
            <v>1452</v>
          </cell>
          <cell r="BG709">
            <v>1676</v>
          </cell>
          <cell r="BH709">
            <v>1872</v>
          </cell>
          <cell r="BI709">
            <v>2064</v>
          </cell>
        </row>
        <row r="710">
          <cell r="BC710" t="str">
            <v>San Diego</v>
          </cell>
          <cell r="BD710">
            <v>1592</v>
          </cell>
          <cell r="BE710">
            <v>1706</v>
          </cell>
          <cell r="BF710">
            <v>2046</v>
          </cell>
          <cell r="BG710">
            <v>2362</v>
          </cell>
          <cell r="BH710">
            <v>2636</v>
          </cell>
          <cell r="BI710">
            <v>2910</v>
          </cell>
        </row>
        <row r="711">
          <cell r="BC711" t="str">
            <v>San Francisco</v>
          </cell>
          <cell r="BD711">
            <v>2304</v>
          </cell>
          <cell r="BE711">
            <v>2468</v>
          </cell>
          <cell r="BF711">
            <v>2962</v>
          </cell>
          <cell r="BG711">
            <v>3422</v>
          </cell>
          <cell r="BH711">
            <v>3816</v>
          </cell>
          <cell r="BI711">
            <v>4212</v>
          </cell>
        </row>
        <row r="712">
          <cell r="BC712" t="str">
            <v>San Joaquin</v>
          </cell>
          <cell r="BD712">
            <v>1070</v>
          </cell>
          <cell r="BE712">
            <v>1146</v>
          </cell>
          <cell r="BF712">
            <v>1374</v>
          </cell>
          <cell r="BG712">
            <v>1588</v>
          </cell>
          <cell r="BH712">
            <v>1772</v>
          </cell>
          <cell r="BI712">
            <v>1956</v>
          </cell>
        </row>
        <row r="713">
          <cell r="BC713" t="str">
            <v>San Luis Obispo</v>
          </cell>
          <cell r="BD713">
            <v>1430</v>
          </cell>
          <cell r="BE713">
            <v>1532</v>
          </cell>
          <cell r="BF713">
            <v>1840</v>
          </cell>
          <cell r="BG713">
            <v>2124</v>
          </cell>
          <cell r="BH713">
            <v>2370</v>
          </cell>
          <cell r="BI713">
            <v>2616</v>
          </cell>
        </row>
        <row r="714">
          <cell r="BC714" t="str">
            <v>San Mateo</v>
          </cell>
          <cell r="BD714">
            <v>2304</v>
          </cell>
          <cell r="BE714">
            <v>2468</v>
          </cell>
          <cell r="BF714">
            <v>2962</v>
          </cell>
          <cell r="BG714">
            <v>3422</v>
          </cell>
          <cell r="BH714">
            <v>3816</v>
          </cell>
          <cell r="BI714">
            <v>4212</v>
          </cell>
        </row>
        <row r="715">
          <cell r="BC715" t="e">
            <v>#N/A</v>
          </cell>
          <cell r="BD715">
            <v>1574</v>
          </cell>
          <cell r="BE715">
            <v>1686</v>
          </cell>
          <cell r="BF715">
            <v>2024</v>
          </cell>
          <cell r="BG715">
            <v>2340</v>
          </cell>
          <cell r="BH715">
            <v>2610</v>
          </cell>
          <cell r="BI715">
            <v>2880</v>
          </cell>
        </row>
        <row r="716">
          <cell r="BC716" t="e">
            <v>#N/A</v>
          </cell>
          <cell r="BD716">
            <v>2090</v>
          </cell>
          <cell r="BE716">
            <v>2240</v>
          </cell>
          <cell r="BF716">
            <v>2686</v>
          </cell>
          <cell r="BG716">
            <v>3104</v>
          </cell>
          <cell r="BH716">
            <v>3464</v>
          </cell>
          <cell r="BI716">
            <v>3822</v>
          </cell>
        </row>
        <row r="717">
          <cell r="BC717" t="e">
            <v>#N/A</v>
          </cell>
          <cell r="BD717">
            <v>1754</v>
          </cell>
          <cell r="BE717">
            <v>1880</v>
          </cell>
          <cell r="BF717">
            <v>2254</v>
          </cell>
          <cell r="BG717">
            <v>2606</v>
          </cell>
          <cell r="BH717">
            <v>2906</v>
          </cell>
          <cell r="BI717">
            <v>3206</v>
          </cell>
        </row>
        <row r="718">
          <cell r="BC718" t="e">
            <v>#N/A</v>
          </cell>
          <cell r="BD718">
            <v>1082</v>
          </cell>
          <cell r="BE718">
            <v>1160</v>
          </cell>
          <cell r="BF718">
            <v>1392</v>
          </cell>
          <cell r="BG718">
            <v>1606</v>
          </cell>
          <cell r="BH718">
            <v>1792</v>
          </cell>
          <cell r="BI718">
            <v>1978</v>
          </cell>
        </row>
        <row r="719">
          <cell r="BC719" t="e">
            <v>#N/A</v>
          </cell>
          <cell r="BD719">
            <v>1174</v>
          </cell>
          <cell r="BE719">
            <v>1258</v>
          </cell>
          <cell r="BF719">
            <v>1510</v>
          </cell>
          <cell r="BG719">
            <v>1744</v>
          </cell>
          <cell r="BH719">
            <v>1946</v>
          </cell>
          <cell r="BI719">
            <v>2148</v>
          </cell>
        </row>
        <row r="720">
          <cell r="BC720" t="e">
            <v>#N/A</v>
          </cell>
          <cell r="BD720">
            <v>1050</v>
          </cell>
          <cell r="BE720">
            <v>1124</v>
          </cell>
          <cell r="BF720">
            <v>1350</v>
          </cell>
          <cell r="BG720">
            <v>1556</v>
          </cell>
          <cell r="BH720">
            <v>1736</v>
          </cell>
          <cell r="BI720">
            <v>1916</v>
          </cell>
        </row>
        <row r="721">
          <cell r="BC721" t="e">
            <v>#N/A</v>
          </cell>
          <cell r="BD721">
            <v>1406</v>
          </cell>
          <cell r="BE721">
            <v>1508</v>
          </cell>
          <cell r="BF721">
            <v>1810</v>
          </cell>
          <cell r="BG721">
            <v>2090</v>
          </cell>
          <cell r="BH721">
            <v>2332</v>
          </cell>
          <cell r="BI721">
            <v>2572</v>
          </cell>
        </row>
        <row r="722">
          <cell r="BC722" t="e">
            <v>#N/A</v>
          </cell>
          <cell r="BD722">
            <v>1542</v>
          </cell>
          <cell r="BE722">
            <v>1652</v>
          </cell>
          <cell r="BF722">
            <v>1982</v>
          </cell>
          <cell r="BG722">
            <v>2290</v>
          </cell>
          <cell r="BH722">
            <v>2554</v>
          </cell>
          <cell r="BI722">
            <v>2820</v>
          </cell>
        </row>
        <row r="723">
          <cell r="BC723" t="e">
            <v>#N/A</v>
          </cell>
          <cell r="BD723">
            <v>1050</v>
          </cell>
          <cell r="BE723">
            <v>1124</v>
          </cell>
          <cell r="BF723">
            <v>1350</v>
          </cell>
          <cell r="BG723">
            <v>1556</v>
          </cell>
          <cell r="BH723">
            <v>1736</v>
          </cell>
          <cell r="BI723">
            <v>1916</v>
          </cell>
        </row>
        <row r="724">
          <cell r="BC724" t="e">
            <v>#N/A</v>
          </cell>
          <cell r="BD724">
            <v>1050</v>
          </cell>
          <cell r="BE724">
            <v>1124</v>
          </cell>
          <cell r="BF724">
            <v>1350</v>
          </cell>
          <cell r="BG724">
            <v>1556</v>
          </cell>
          <cell r="BH724">
            <v>1736</v>
          </cell>
          <cell r="BI724">
            <v>1916</v>
          </cell>
        </row>
        <row r="725">
          <cell r="BC725" t="e">
            <v>#N/A</v>
          </cell>
          <cell r="BD725">
            <v>1050</v>
          </cell>
          <cell r="BE725">
            <v>1124</v>
          </cell>
          <cell r="BF725">
            <v>1350</v>
          </cell>
          <cell r="BG725">
            <v>1556</v>
          </cell>
          <cell r="BH725">
            <v>1736</v>
          </cell>
          <cell r="BI725">
            <v>1916</v>
          </cell>
        </row>
        <row r="726">
          <cell r="BC726" t="e">
            <v>#N/A</v>
          </cell>
          <cell r="BD726">
            <v>1050</v>
          </cell>
          <cell r="BE726">
            <v>1124</v>
          </cell>
          <cell r="BF726">
            <v>1350</v>
          </cell>
          <cell r="BG726">
            <v>1556</v>
          </cell>
          <cell r="BH726">
            <v>1736</v>
          </cell>
          <cell r="BI726">
            <v>1916</v>
          </cell>
        </row>
        <row r="727">
          <cell r="BC727" t="e">
            <v>#N/A</v>
          </cell>
          <cell r="BD727">
            <v>1050</v>
          </cell>
          <cell r="BE727">
            <v>1124</v>
          </cell>
          <cell r="BF727">
            <v>1350</v>
          </cell>
          <cell r="BG727">
            <v>1556</v>
          </cell>
          <cell r="BH727">
            <v>1736</v>
          </cell>
          <cell r="BI727">
            <v>1916</v>
          </cell>
        </row>
        <row r="728">
          <cell r="BC728" t="str">
            <v>Tuolumne</v>
          </cell>
          <cell r="BD728">
            <v>1054</v>
          </cell>
          <cell r="BE728">
            <v>1130</v>
          </cell>
          <cell r="BF728">
            <v>1354</v>
          </cell>
          <cell r="BG728">
            <v>1566</v>
          </cell>
          <cell r="BH728">
            <v>1746</v>
          </cell>
          <cell r="BI728">
            <v>1926</v>
          </cell>
        </row>
        <row r="729">
          <cell r="BC729" t="e">
            <v>#N/A</v>
          </cell>
          <cell r="BD729">
            <v>1750</v>
          </cell>
          <cell r="BE729">
            <v>1874</v>
          </cell>
          <cell r="BF729">
            <v>2250</v>
          </cell>
          <cell r="BG729">
            <v>2596</v>
          </cell>
          <cell r="BH729">
            <v>2896</v>
          </cell>
          <cell r="BI729">
            <v>3196</v>
          </cell>
        </row>
        <row r="730">
          <cell r="BC730" t="e">
            <v>#N/A</v>
          </cell>
          <cell r="BD730">
            <v>1306</v>
          </cell>
          <cell r="BE730">
            <v>1400</v>
          </cell>
          <cell r="BF730">
            <v>1682</v>
          </cell>
          <cell r="BG730">
            <v>1942</v>
          </cell>
          <cell r="BH730">
            <v>2166</v>
          </cell>
          <cell r="BI730">
            <v>2392</v>
          </cell>
        </row>
        <row r="731">
          <cell r="BC731" t="e">
            <v>#N/A</v>
          </cell>
          <cell r="BD731">
            <v>1050</v>
          </cell>
          <cell r="BE731">
            <v>1124</v>
          </cell>
          <cell r="BF731">
            <v>1350</v>
          </cell>
          <cell r="BG731">
            <v>1556</v>
          </cell>
          <cell r="BH731">
            <v>1736</v>
          </cell>
          <cell r="BI731">
            <v>1916</v>
          </cell>
        </row>
      </sheetData>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App Completion "/>
      <sheetName val="Instructions-Electronic Submit"/>
      <sheetName val="Application"/>
      <sheetName val="Sources and Uses Budget"/>
      <sheetName val="Basis and Credits"/>
      <sheetName val="Points System"/>
      <sheetName val="Service Amenities Budget"/>
      <sheetName val="Final Tie Breaker Self-Score"/>
      <sheetName val="15 Year Pro Forma"/>
      <sheetName val="Subsidy Contract Calculation"/>
      <sheetName val="Checklist Items "/>
      <sheetName val="Applicant Notes"/>
      <sheetName val="POST AWARD SPREADSHEETS&gt;&gt;&gt;"/>
      <sheetName val="Post-award Project Cost Changes"/>
      <sheetName val="Instructions"/>
    </sheetNames>
    <sheetDataSet>
      <sheetData sheetId="0" refreshError="1"/>
      <sheetData sheetId="1" refreshError="1"/>
      <sheetData sheetId="2">
        <row r="682">
          <cell r="BC682" t="str">
            <v>County</v>
          </cell>
          <cell r="BD682" t="str">
            <v>SRO/Studio</v>
          </cell>
          <cell r="BE682" t="str">
            <v>1 Bedroom</v>
          </cell>
          <cell r="BF682" t="str">
            <v>2 Bedrooms</v>
          </cell>
          <cell r="BG682" t="str">
            <v>3 Bedrooms</v>
          </cell>
          <cell r="BH682" t="str">
            <v>4 Bedrooms</v>
          </cell>
          <cell r="BI682" t="str">
            <v>5 Bedrooms</v>
          </cell>
        </row>
        <row r="683">
          <cell r="BC683" t="str">
            <v>Alameda</v>
          </cell>
          <cell r="BD683">
            <v>1626</v>
          </cell>
          <cell r="BE683">
            <v>1742</v>
          </cell>
          <cell r="BF683">
            <v>2092</v>
          </cell>
          <cell r="BG683">
            <v>2416</v>
          </cell>
          <cell r="BH683">
            <v>2694</v>
          </cell>
          <cell r="BI683">
            <v>2972</v>
          </cell>
        </row>
        <row r="684">
          <cell r="BC684" t="str">
            <v>Alpine</v>
          </cell>
          <cell r="BD684">
            <v>1512</v>
          </cell>
          <cell r="BE684">
            <v>1666</v>
          </cell>
          <cell r="BF684">
            <v>1944</v>
          </cell>
          <cell r="BG684">
            <v>2246</v>
          </cell>
          <cell r="BH684">
            <v>2506</v>
          </cell>
          <cell r="BI684">
            <v>2766</v>
          </cell>
        </row>
        <row r="685">
          <cell r="BC685" t="str">
            <v>Amador</v>
          </cell>
          <cell r="BD685">
            <v>1202</v>
          </cell>
          <cell r="BE685">
            <v>1288</v>
          </cell>
          <cell r="BF685">
            <v>1546</v>
          </cell>
          <cell r="BG685">
            <v>1786</v>
          </cell>
          <cell r="BH685">
            <v>1992</v>
          </cell>
          <cell r="BI685">
            <v>2198</v>
          </cell>
        </row>
        <row r="686">
          <cell r="BC686" t="str">
            <v>Butte</v>
          </cell>
          <cell r="BD686">
            <v>996</v>
          </cell>
          <cell r="BE686">
            <v>1068</v>
          </cell>
          <cell r="BF686">
            <v>1282</v>
          </cell>
          <cell r="BG686">
            <v>1480</v>
          </cell>
          <cell r="BH686">
            <v>1652</v>
          </cell>
          <cell r="BI686">
            <v>1822</v>
          </cell>
        </row>
        <row r="687">
          <cell r="BC687" t="str">
            <v>Calaveras</v>
          </cell>
          <cell r="BD687">
            <v>1230</v>
          </cell>
          <cell r="BE687">
            <v>1316</v>
          </cell>
          <cell r="BF687">
            <v>1580</v>
          </cell>
          <cell r="BG687">
            <v>1826</v>
          </cell>
          <cell r="BH687">
            <v>2036</v>
          </cell>
          <cell r="BI687">
            <v>2246</v>
          </cell>
        </row>
        <row r="688">
          <cell r="BC688" t="str">
            <v>Colusa</v>
          </cell>
          <cell r="BD688">
            <v>1026</v>
          </cell>
          <cell r="BE688">
            <v>1100</v>
          </cell>
          <cell r="BF688">
            <v>1322</v>
          </cell>
          <cell r="BG688">
            <v>1526</v>
          </cell>
          <cell r="BH688">
            <v>1702</v>
          </cell>
          <cell r="BI688">
            <v>1878</v>
          </cell>
        </row>
        <row r="689">
          <cell r="BC689" t="str">
            <v>Contra Costa</v>
          </cell>
          <cell r="BD689">
            <v>1626</v>
          </cell>
          <cell r="BE689">
            <v>1742</v>
          </cell>
          <cell r="BF689">
            <v>2092</v>
          </cell>
          <cell r="BG689">
            <v>2416</v>
          </cell>
          <cell r="BH689">
            <v>2694</v>
          </cell>
          <cell r="BI689">
            <v>2972</v>
          </cell>
        </row>
        <row r="690">
          <cell r="BC690" t="str">
            <v>Del Norte</v>
          </cell>
          <cell r="BD690">
            <v>996</v>
          </cell>
          <cell r="BE690">
            <v>1068</v>
          </cell>
          <cell r="BF690">
            <v>1282</v>
          </cell>
          <cell r="BG690">
            <v>1480</v>
          </cell>
          <cell r="BH690">
            <v>1652</v>
          </cell>
          <cell r="BI690">
            <v>1822</v>
          </cell>
        </row>
        <row r="691">
          <cell r="BC691" t="str">
            <v>El Dorado</v>
          </cell>
          <cell r="BD691">
            <v>1252</v>
          </cell>
          <cell r="BE691">
            <v>1340</v>
          </cell>
          <cell r="BF691">
            <v>1610</v>
          </cell>
          <cell r="BG691">
            <v>1860</v>
          </cell>
          <cell r="BH691">
            <v>2074</v>
          </cell>
          <cell r="BI691">
            <v>2288</v>
          </cell>
        </row>
        <row r="692">
          <cell r="BC692" t="str">
            <v>Fresno</v>
          </cell>
          <cell r="BD692">
            <v>996</v>
          </cell>
          <cell r="BE692">
            <v>1068</v>
          </cell>
          <cell r="BF692">
            <v>1282</v>
          </cell>
          <cell r="BG692">
            <v>1480</v>
          </cell>
          <cell r="BH692">
            <v>1652</v>
          </cell>
          <cell r="BI692">
            <v>1822</v>
          </cell>
        </row>
        <row r="693">
          <cell r="BC693" t="str">
            <v>Glenn</v>
          </cell>
          <cell r="BD693">
            <v>996</v>
          </cell>
          <cell r="BE693">
            <v>1068</v>
          </cell>
          <cell r="BF693">
            <v>1282</v>
          </cell>
          <cell r="BG693">
            <v>1480</v>
          </cell>
          <cell r="BH693">
            <v>1652</v>
          </cell>
          <cell r="BI693">
            <v>1822</v>
          </cell>
        </row>
        <row r="694">
          <cell r="BC694" t="str">
            <v>Humboldt</v>
          </cell>
          <cell r="BD694">
            <v>996</v>
          </cell>
          <cell r="BE694">
            <v>1068</v>
          </cell>
          <cell r="BF694">
            <v>1282</v>
          </cell>
          <cell r="BG694">
            <v>1480</v>
          </cell>
          <cell r="BH694">
            <v>1652</v>
          </cell>
          <cell r="BI694">
            <v>1822</v>
          </cell>
        </row>
        <row r="695">
          <cell r="BC695" t="str">
            <v>Imperial</v>
          </cell>
          <cell r="BD695">
            <v>996</v>
          </cell>
          <cell r="BE695">
            <v>1068</v>
          </cell>
          <cell r="BF695">
            <v>1282</v>
          </cell>
          <cell r="BG695">
            <v>1480</v>
          </cell>
          <cell r="BH695">
            <v>1652</v>
          </cell>
          <cell r="BI695">
            <v>1822</v>
          </cell>
        </row>
        <row r="696">
          <cell r="BC696" t="str">
            <v>Inyo</v>
          </cell>
          <cell r="BD696">
            <v>1252</v>
          </cell>
          <cell r="BE696">
            <v>1340</v>
          </cell>
          <cell r="BF696">
            <v>1610</v>
          </cell>
          <cell r="BG696">
            <v>1860</v>
          </cell>
          <cell r="BH696">
            <v>2074</v>
          </cell>
          <cell r="BI696">
            <v>2288</v>
          </cell>
        </row>
        <row r="697">
          <cell r="BC697" t="str">
            <v>Kern</v>
          </cell>
          <cell r="BD697">
            <v>996</v>
          </cell>
          <cell r="BE697">
            <v>1068</v>
          </cell>
          <cell r="BF697">
            <v>1282</v>
          </cell>
          <cell r="BG697">
            <v>1480</v>
          </cell>
          <cell r="BH697">
            <v>1652</v>
          </cell>
          <cell r="BI697">
            <v>1822</v>
          </cell>
        </row>
        <row r="698">
          <cell r="BC698" t="str">
            <v>Kings</v>
          </cell>
          <cell r="BD698">
            <v>996</v>
          </cell>
          <cell r="BE698">
            <v>1068</v>
          </cell>
          <cell r="BF698">
            <v>1282</v>
          </cell>
          <cell r="BG698">
            <v>1480</v>
          </cell>
          <cell r="BH698">
            <v>1652</v>
          </cell>
          <cell r="BI698">
            <v>1822</v>
          </cell>
        </row>
        <row r="699">
          <cell r="BC699" t="str">
            <v>Lake</v>
          </cell>
          <cell r="BD699">
            <v>996</v>
          </cell>
          <cell r="BE699">
            <v>1068</v>
          </cell>
          <cell r="BF699">
            <v>1282</v>
          </cell>
          <cell r="BG699">
            <v>1480</v>
          </cell>
          <cell r="BH699">
            <v>1652</v>
          </cell>
          <cell r="BI699">
            <v>1822</v>
          </cell>
        </row>
        <row r="700">
          <cell r="BC700" t="str">
            <v>Lassen</v>
          </cell>
          <cell r="BD700">
            <v>1214</v>
          </cell>
          <cell r="BE700">
            <v>1302</v>
          </cell>
          <cell r="BF700">
            <v>1562</v>
          </cell>
          <cell r="BG700">
            <v>1804</v>
          </cell>
          <cell r="BH700">
            <v>2014</v>
          </cell>
          <cell r="BI700">
            <v>2222</v>
          </cell>
        </row>
        <row r="701">
          <cell r="BC701" t="str">
            <v>Los Angeles</v>
          </cell>
          <cell r="BD701">
            <v>1452</v>
          </cell>
          <cell r="BE701">
            <v>1556</v>
          </cell>
          <cell r="BF701">
            <v>1866</v>
          </cell>
          <cell r="BG701">
            <v>2158</v>
          </cell>
          <cell r="BH701">
            <v>2406</v>
          </cell>
          <cell r="BI701">
            <v>2656</v>
          </cell>
        </row>
        <row r="702">
          <cell r="BC702" t="str">
            <v>Madera</v>
          </cell>
          <cell r="BD702">
            <v>996</v>
          </cell>
          <cell r="BE702">
            <v>1068</v>
          </cell>
          <cell r="BF702">
            <v>1282</v>
          </cell>
          <cell r="BG702">
            <v>1480</v>
          </cell>
          <cell r="BH702">
            <v>1652</v>
          </cell>
          <cell r="BI702">
            <v>1822</v>
          </cell>
        </row>
        <row r="703">
          <cell r="BC703" t="str">
            <v>Marin</v>
          </cell>
          <cell r="BD703">
            <v>2052</v>
          </cell>
          <cell r="BE703">
            <v>2198</v>
          </cell>
          <cell r="BF703">
            <v>2636</v>
          </cell>
          <cell r="BG703">
            <v>3046</v>
          </cell>
          <cell r="BH703">
            <v>3400</v>
          </cell>
          <cell r="BI703">
            <v>3752</v>
          </cell>
        </row>
        <row r="704">
          <cell r="BC704" t="str">
            <v>Mariposa</v>
          </cell>
          <cell r="BD704">
            <v>1084</v>
          </cell>
          <cell r="BE704">
            <v>1162</v>
          </cell>
          <cell r="BF704">
            <v>1394</v>
          </cell>
          <cell r="BG704">
            <v>1610</v>
          </cell>
          <cell r="BH704">
            <v>1796</v>
          </cell>
          <cell r="BI704">
            <v>1982</v>
          </cell>
        </row>
        <row r="705">
          <cell r="BC705" t="str">
            <v>Mendocino</v>
          </cell>
          <cell r="BD705">
            <v>1014</v>
          </cell>
          <cell r="BE705">
            <v>1086</v>
          </cell>
          <cell r="BF705">
            <v>1304</v>
          </cell>
          <cell r="BG705">
            <v>1508</v>
          </cell>
          <cell r="BH705">
            <v>1682</v>
          </cell>
          <cell r="BI705">
            <v>1856</v>
          </cell>
        </row>
        <row r="706">
          <cell r="BC706" t="str">
            <v>Merced</v>
          </cell>
          <cell r="BD706">
            <v>996</v>
          </cell>
          <cell r="BE706">
            <v>1068</v>
          </cell>
          <cell r="BF706">
            <v>1282</v>
          </cell>
          <cell r="BG706">
            <v>1480</v>
          </cell>
          <cell r="BH706">
            <v>1652</v>
          </cell>
          <cell r="BI706">
            <v>1822</v>
          </cell>
        </row>
        <row r="707">
          <cell r="BC707" t="str">
            <v>Modoc</v>
          </cell>
          <cell r="BD707">
            <v>996</v>
          </cell>
          <cell r="BE707">
            <v>1068</v>
          </cell>
          <cell r="BF707">
            <v>1282</v>
          </cell>
          <cell r="BG707">
            <v>1480</v>
          </cell>
          <cell r="BH707">
            <v>1652</v>
          </cell>
          <cell r="BI707">
            <v>1822</v>
          </cell>
        </row>
        <row r="708">
          <cell r="BC708" t="str">
            <v>Mono</v>
          </cell>
          <cell r="BD708">
            <v>1352</v>
          </cell>
          <cell r="BE708">
            <v>1448</v>
          </cell>
          <cell r="BF708">
            <v>1736</v>
          </cell>
          <cell r="BG708">
            <v>2006</v>
          </cell>
          <cell r="BH708">
            <v>2240</v>
          </cell>
          <cell r="BI708">
            <v>2472</v>
          </cell>
        </row>
        <row r="709">
          <cell r="BC709" t="str">
            <v>Monterey</v>
          </cell>
          <cell r="BD709">
            <v>1270</v>
          </cell>
          <cell r="BE709">
            <v>1360</v>
          </cell>
          <cell r="BF709">
            <v>1632</v>
          </cell>
          <cell r="BG709">
            <v>1884</v>
          </cell>
          <cell r="BH709">
            <v>2102</v>
          </cell>
          <cell r="BI709">
            <v>2320</v>
          </cell>
        </row>
        <row r="710">
          <cell r="BC710" t="str">
            <v>Napa</v>
          </cell>
          <cell r="BD710">
            <v>1530</v>
          </cell>
          <cell r="BE710">
            <v>1638</v>
          </cell>
          <cell r="BF710">
            <v>1964</v>
          </cell>
          <cell r="BG710">
            <v>2270</v>
          </cell>
          <cell r="BH710">
            <v>2532</v>
          </cell>
          <cell r="BI710">
            <v>2794</v>
          </cell>
        </row>
        <row r="711">
          <cell r="BC711" t="str">
            <v>Nevada</v>
          </cell>
          <cell r="BD711">
            <v>1342</v>
          </cell>
          <cell r="BE711">
            <v>1438</v>
          </cell>
          <cell r="BF711">
            <v>1726</v>
          </cell>
          <cell r="BG711">
            <v>1994</v>
          </cell>
          <cell r="BH711">
            <v>2224</v>
          </cell>
          <cell r="BI711">
            <v>2456</v>
          </cell>
        </row>
        <row r="712">
          <cell r="BC712" t="str">
            <v>Orange</v>
          </cell>
          <cell r="BD712">
            <v>1640</v>
          </cell>
          <cell r="BE712">
            <v>1756</v>
          </cell>
          <cell r="BF712">
            <v>2110</v>
          </cell>
          <cell r="BG712">
            <v>2436</v>
          </cell>
          <cell r="BH712">
            <v>2716</v>
          </cell>
          <cell r="BI712">
            <v>2998</v>
          </cell>
        </row>
        <row r="713">
          <cell r="BC713" t="str">
            <v>Placer</v>
          </cell>
          <cell r="BD713">
            <v>1252</v>
          </cell>
          <cell r="BE713">
            <v>1340</v>
          </cell>
          <cell r="BF713">
            <v>1610</v>
          </cell>
          <cell r="BG713">
            <v>1860</v>
          </cell>
          <cell r="BH713">
            <v>2074</v>
          </cell>
          <cell r="BI713">
            <v>2288</v>
          </cell>
        </row>
        <row r="714">
          <cell r="BC714" t="str">
            <v>Plumas</v>
          </cell>
          <cell r="BD714">
            <v>996</v>
          </cell>
          <cell r="BE714">
            <v>1068</v>
          </cell>
          <cell r="BF714">
            <v>1282</v>
          </cell>
          <cell r="BG714">
            <v>1480</v>
          </cell>
          <cell r="BH714">
            <v>1652</v>
          </cell>
          <cell r="BI714">
            <v>1822</v>
          </cell>
        </row>
        <row r="715">
          <cell r="BC715" t="str">
            <v>Riverside</v>
          </cell>
          <cell r="BD715">
            <v>1086</v>
          </cell>
          <cell r="BE715">
            <v>1164</v>
          </cell>
          <cell r="BF715">
            <v>1396</v>
          </cell>
          <cell r="BG715">
            <v>1614</v>
          </cell>
          <cell r="BH715">
            <v>1802</v>
          </cell>
          <cell r="BI715">
            <v>1988</v>
          </cell>
        </row>
        <row r="716">
          <cell r="BC716" t="str">
            <v>Sacramento</v>
          </cell>
          <cell r="BD716">
            <v>1252</v>
          </cell>
          <cell r="BE716">
            <v>1340</v>
          </cell>
          <cell r="BF716">
            <v>1610</v>
          </cell>
          <cell r="BG716">
            <v>1860</v>
          </cell>
          <cell r="BH716">
            <v>2074</v>
          </cell>
          <cell r="BI716">
            <v>2288</v>
          </cell>
        </row>
        <row r="717">
          <cell r="BC717" t="str">
            <v>San Benito</v>
          </cell>
          <cell r="BD717">
            <v>1304</v>
          </cell>
          <cell r="BE717">
            <v>1396</v>
          </cell>
          <cell r="BF717">
            <v>1676</v>
          </cell>
          <cell r="BG717">
            <v>1936</v>
          </cell>
          <cell r="BH717">
            <v>2162</v>
          </cell>
          <cell r="BI717">
            <v>2384</v>
          </cell>
        </row>
        <row r="718">
          <cell r="BC718" t="str">
            <v>San Bernardino</v>
          </cell>
          <cell r="BD718">
            <v>1086</v>
          </cell>
          <cell r="BE718">
            <v>1164</v>
          </cell>
          <cell r="BF718">
            <v>1396</v>
          </cell>
          <cell r="BG718">
            <v>1614</v>
          </cell>
          <cell r="BH718">
            <v>1802</v>
          </cell>
          <cell r="BI718">
            <v>1988</v>
          </cell>
        </row>
        <row r="719">
          <cell r="BC719" t="str">
            <v>San Diego</v>
          </cell>
          <cell r="BD719">
            <v>1416</v>
          </cell>
          <cell r="BE719">
            <v>1518</v>
          </cell>
          <cell r="BF719">
            <v>1822</v>
          </cell>
          <cell r="BG719">
            <v>2106</v>
          </cell>
          <cell r="BH719">
            <v>2350</v>
          </cell>
          <cell r="BI719">
            <v>2592</v>
          </cell>
        </row>
        <row r="720">
          <cell r="BC720" t="str">
            <v>San Francisco</v>
          </cell>
          <cell r="BD720">
            <v>2052</v>
          </cell>
          <cell r="BE720">
            <v>2198</v>
          </cell>
          <cell r="BF720">
            <v>2636</v>
          </cell>
          <cell r="BG720">
            <v>3046</v>
          </cell>
          <cell r="BH720">
            <v>3400</v>
          </cell>
          <cell r="BI720">
            <v>3752</v>
          </cell>
        </row>
        <row r="721">
          <cell r="BC721" t="str">
            <v>San Joaquin</v>
          </cell>
          <cell r="BD721">
            <v>1044</v>
          </cell>
          <cell r="BE721">
            <v>1118</v>
          </cell>
          <cell r="BF721">
            <v>1342</v>
          </cell>
          <cell r="BG721">
            <v>1550</v>
          </cell>
          <cell r="BH721">
            <v>1730</v>
          </cell>
          <cell r="BI721">
            <v>1908</v>
          </cell>
        </row>
        <row r="722">
          <cell r="BC722" t="str">
            <v>San Luis Obispo</v>
          </cell>
          <cell r="BD722">
            <v>1350</v>
          </cell>
          <cell r="BE722">
            <v>1446</v>
          </cell>
          <cell r="BF722">
            <v>1734</v>
          </cell>
          <cell r="BG722">
            <v>2004</v>
          </cell>
          <cell r="BH722">
            <v>2236</v>
          </cell>
          <cell r="BI722">
            <v>2468</v>
          </cell>
        </row>
        <row r="723">
          <cell r="BC723" t="str">
            <v>San Mateo</v>
          </cell>
          <cell r="BD723">
            <v>2052</v>
          </cell>
          <cell r="BE723">
            <v>2198</v>
          </cell>
          <cell r="BF723">
            <v>2636</v>
          </cell>
          <cell r="BG723">
            <v>3046</v>
          </cell>
          <cell r="BH723">
            <v>3400</v>
          </cell>
          <cell r="BI723">
            <v>3752</v>
          </cell>
        </row>
        <row r="724">
          <cell r="BC724" t="str">
            <v>Santa Barbara</v>
          </cell>
          <cell r="BD724">
            <v>1404</v>
          </cell>
          <cell r="BE724">
            <v>1504</v>
          </cell>
          <cell r="BF724">
            <v>1804</v>
          </cell>
          <cell r="BG724">
            <v>2086</v>
          </cell>
          <cell r="BH724">
            <v>2326</v>
          </cell>
          <cell r="BI724">
            <v>2566</v>
          </cell>
        </row>
        <row r="725">
          <cell r="BC725" t="str">
            <v>Santa Clara</v>
          </cell>
          <cell r="BD725">
            <v>1862</v>
          </cell>
          <cell r="BE725">
            <v>1994</v>
          </cell>
          <cell r="BF725">
            <v>2392</v>
          </cell>
          <cell r="BG725">
            <v>2764</v>
          </cell>
          <cell r="BH725">
            <v>3084</v>
          </cell>
          <cell r="BI725">
            <v>3402</v>
          </cell>
        </row>
        <row r="726">
          <cell r="BC726" t="str">
            <v>Santa Cruz</v>
          </cell>
          <cell r="BD726">
            <v>1726</v>
          </cell>
          <cell r="BE726">
            <v>1850</v>
          </cell>
          <cell r="BF726">
            <v>2220</v>
          </cell>
          <cell r="BG726">
            <v>2562</v>
          </cell>
          <cell r="BH726">
            <v>2860</v>
          </cell>
          <cell r="BI726">
            <v>3156</v>
          </cell>
        </row>
        <row r="727">
          <cell r="BC727" t="str">
            <v>Shasta</v>
          </cell>
          <cell r="BD727">
            <v>996</v>
          </cell>
          <cell r="BE727">
            <v>1068</v>
          </cell>
          <cell r="BF727">
            <v>1282</v>
          </cell>
          <cell r="BG727">
            <v>1480</v>
          </cell>
          <cell r="BH727">
            <v>1652</v>
          </cell>
          <cell r="BI727">
            <v>1822</v>
          </cell>
        </row>
        <row r="728">
          <cell r="BC728" t="str">
            <v>Sierra</v>
          </cell>
          <cell r="BD728">
            <v>1112</v>
          </cell>
          <cell r="BE728">
            <v>1190</v>
          </cell>
          <cell r="BF728">
            <v>1430</v>
          </cell>
          <cell r="BG728">
            <v>1650</v>
          </cell>
          <cell r="BH728">
            <v>1842</v>
          </cell>
          <cell r="BI728">
            <v>2032</v>
          </cell>
        </row>
        <row r="729">
          <cell r="BC729" t="str">
            <v>Siskiyou</v>
          </cell>
          <cell r="BD729">
            <v>996</v>
          </cell>
          <cell r="BE729">
            <v>1068</v>
          </cell>
          <cell r="BF729">
            <v>1282</v>
          </cell>
          <cell r="BG729">
            <v>1480</v>
          </cell>
          <cell r="BH729">
            <v>1652</v>
          </cell>
          <cell r="BI729">
            <v>1822</v>
          </cell>
        </row>
        <row r="730">
          <cell r="BC730" t="str">
            <v>Solano</v>
          </cell>
          <cell r="BD730">
            <v>1304</v>
          </cell>
          <cell r="BE730">
            <v>1396</v>
          </cell>
          <cell r="BF730">
            <v>1676</v>
          </cell>
          <cell r="BG730">
            <v>1936</v>
          </cell>
          <cell r="BH730">
            <v>2162</v>
          </cell>
          <cell r="BI730">
            <v>2384</v>
          </cell>
        </row>
        <row r="731">
          <cell r="BC731" t="str">
            <v>Sonoma</v>
          </cell>
          <cell r="BD731">
            <v>1400</v>
          </cell>
          <cell r="BE731">
            <v>1500</v>
          </cell>
          <cell r="BF731">
            <v>1800</v>
          </cell>
          <cell r="BG731">
            <v>2076</v>
          </cell>
          <cell r="BH731">
            <v>2316</v>
          </cell>
          <cell r="BI731">
            <v>2556</v>
          </cell>
        </row>
        <row r="732">
          <cell r="BC732" t="str">
            <v>Stanislaus</v>
          </cell>
          <cell r="BD732">
            <v>996</v>
          </cell>
          <cell r="BE732">
            <v>1068</v>
          </cell>
          <cell r="BF732">
            <v>1282</v>
          </cell>
          <cell r="BG732">
            <v>1480</v>
          </cell>
          <cell r="BH732">
            <v>1652</v>
          </cell>
          <cell r="BI732">
            <v>1822</v>
          </cell>
        </row>
        <row r="733">
          <cell r="BC733" t="str">
            <v>Sutter</v>
          </cell>
          <cell r="BD733">
            <v>996</v>
          </cell>
          <cell r="BE733">
            <v>1068</v>
          </cell>
          <cell r="BF733">
            <v>1282</v>
          </cell>
          <cell r="BG733">
            <v>1480</v>
          </cell>
          <cell r="BH733">
            <v>1652</v>
          </cell>
          <cell r="BI733">
            <v>1822</v>
          </cell>
        </row>
        <row r="734">
          <cell r="BC734" t="str">
            <v>Tehama</v>
          </cell>
          <cell r="BD734">
            <v>996</v>
          </cell>
          <cell r="BE734">
            <v>1068</v>
          </cell>
          <cell r="BF734">
            <v>1282</v>
          </cell>
          <cell r="BG734">
            <v>1480</v>
          </cell>
          <cell r="BH734">
            <v>1652</v>
          </cell>
          <cell r="BI734">
            <v>1822</v>
          </cell>
        </row>
        <row r="735">
          <cell r="BC735" t="str">
            <v>Trinity</v>
          </cell>
          <cell r="BD735">
            <v>996</v>
          </cell>
          <cell r="BE735">
            <v>1068</v>
          </cell>
          <cell r="BF735">
            <v>1282</v>
          </cell>
          <cell r="BG735">
            <v>1480</v>
          </cell>
          <cell r="BH735">
            <v>1652</v>
          </cell>
          <cell r="BI735">
            <v>1822</v>
          </cell>
        </row>
        <row r="736">
          <cell r="BC736" t="str">
            <v>Tulare</v>
          </cell>
          <cell r="BD736">
            <v>996</v>
          </cell>
          <cell r="BE736">
            <v>1068</v>
          </cell>
          <cell r="BF736">
            <v>1282</v>
          </cell>
          <cell r="BG736">
            <v>1480</v>
          </cell>
          <cell r="BH736">
            <v>1652</v>
          </cell>
          <cell r="BI736">
            <v>1822</v>
          </cell>
        </row>
        <row r="737">
          <cell r="BC737" t="str">
            <v>Tuolumne</v>
          </cell>
          <cell r="BD737">
            <v>1114</v>
          </cell>
          <cell r="BE737">
            <v>1192</v>
          </cell>
          <cell r="BF737">
            <v>1432</v>
          </cell>
          <cell r="BG737">
            <v>1652</v>
          </cell>
          <cell r="BH737">
            <v>1844</v>
          </cell>
          <cell r="BI737">
            <v>2036</v>
          </cell>
        </row>
        <row r="738">
          <cell r="BC738" t="str">
            <v>Ventura</v>
          </cell>
          <cell r="BD738">
            <v>1586</v>
          </cell>
          <cell r="BE738">
            <v>1700</v>
          </cell>
          <cell r="BF738">
            <v>2040</v>
          </cell>
          <cell r="BG738">
            <v>2356</v>
          </cell>
          <cell r="BH738">
            <v>2626</v>
          </cell>
          <cell r="BI738">
            <v>2900</v>
          </cell>
        </row>
        <row r="739">
          <cell r="BC739" t="str">
            <v>Yolo</v>
          </cell>
          <cell r="BD739">
            <v>1264</v>
          </cell>
          <cell r="BE739">
            <v>1354</v>
          </cell>
          <cell r="BF739">
            <v>1624</v>
          </cell>
          <cell r="BG739">
            <v>1876</v>
          </cell>
          <cell r="BH739">
            <v>2094</v>
          </cell>
          <cell r="BI739">
            <v>2312</v>
          </cell>
        </row>
        <row r="740">
          <cell r="BC740" t="str">
            <v>Yuba</v>
          </cell>
          <cell r="BD740">
            <v>996</v>
          </cell>
          <cell r="BE740">
            <v>1068</v>
          </cell>
          <cell r="BF740">
            <v>1282</v>
          </cell>
          <cell r="BG740">
            <v>1480</v>
          </cell>
          <cell r="BH740">
            <v>1652</v>
          </cell>
          <cell r="BI740">
            <v>1822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s Matrix"/>
      <sheetName val="Feasibility"/>
      <sheetName val="100%RENTS"/>
    </sheetNames>
    <sheetDataSet>
      <sheetData sheetId="0" refreshError="1">
        <row r="1">
          <cell r="A1">
            <v>39505.471525115739</v>
          </cell>
        </row>
        <row r="2">
          <cell r="A2" t="str">
            <v>Project Name:</v>
          </cell>
          <cell r="B2">
            <v>0</v>
          </cell>
          <cell r="E2" t="str">
            <v>Square Footage of Site:</v>
          </cell>
          <cell r="G2">
            <v>0</v>
          </cell>
        </row>
        <row r="3">
          <cell r="A3" t="str">
            <v>Project Number:</v>
          </cell>
          <cell r="E3" t="str">
            <v>Acre Conversion:</v>
          </cell>
          <cell r="G3">
            <v>0</v>
          </cell>
          <cell r="H3" t="str">
            <v>=(sqft / 43,560)</v>
          </cell>
        </row>
        <row r="4">
          <cell r="A4" t="str">
            <v>County:</v>
          </cell>
          <cell r="B4" t="str">
            <v>(select one)</v>
          </cell>
          <cell r="E4" t="str">
            <v>Analyst:</v>
          </cell>
        </row>
        <row r="5">
          <cell r="A5" t="str">
            <v>Total units in project:</v>
          </cell>
          <cell r="B5">
            <v>0</v>
          </cell>
          <cell r="C5" t="str">
            <v>(excluding managers' unit)</v>
          </cell>
          <cell r="E5" t="str">
            <v xml:space="preserve">Set-Aside: </v>
          </cell>
          <cell r="G5" t="str">
            <v>N/A</v>
          </cell>
        </row>
        <row r="6">
          <cell r="A6" t="str">
            <v>Housing Type:</v>
          </cell>
          <cell r="B6" t="str">
            <v>(select one)</v>
          </cell>
          <cell r="E6" t="str">
            <v>Geographic Area:</v>
          </cell>
          <cell r="G6" t="str">
            <v>Alameda, Contra Costa, Marin, Napa, Solano, Sonoma Counties</v>
          </cell>
        </row>
        <row r="8">
          <cell r="A8" t="str">
            <v xml:space="preserve">CONFIRMATION OF AFFORDABILITY LEVEL POINTS </v>
          </cell>
        </row>
        <row r="9">
          <cell r="A9" t="str">
            <v>Number of Bedrooms</v>
          </cell>
          <cell r="B9" t="str">
            <v>Number of Units</v>
          </cell>
          <cell r="C9" t="str">
            <v>Proposed</v>
          </cell>
          <cell r="D9" t="str">
            <v>Total Monthly</v>
          </cell>
          <cell r="E9">
            <v>1</v>
          </cell>
          <cell r="F9" t="str">
            <v>Total Mo</v>
          </cell>
          <cell r="G9" t="str">
            <v>Proposed</v>
          </cell>
          <cell r="H9" t="str">
            <v>Total Monthly</v>
          </cell>
        </row>
        <row r="10">
          <cell r="C10" t="str">
            <v>Rents</v>
          </cell>
          <cell r="D10" t="str">
            <v>Proposed</v>
          </cell>
          <cell r="E10" t="str">
            <v>Rents</v>
          </cell>
          <cell r="F10">
            <v>1</v>
          </cell>
          <cell r="G10" t="str">
            <v>wo/util</v>
          </cell>
          <cell r="H10" t="str">
            <v>w/o util</v>
          </cell>
        </row>
        <row r="11">
          <cell r="A11" t="e">
            <v>#N/A</v>
          </cell>
          <cell r="B11">
            <v>0</v>
          </cell>
          <cell r="C11">
            <v>0</v>
          </cell>
          <cell r="D11">
            <v>0</v>
          </cell>
          <cell r="E11">
            <v>0</v>
          </cell>
          <cell r="F11">
            <v>0</v>
          </cell>
          <cell r="G11">
            <v>0</v>
          </cell>
          <cell r="H11">
            <v>0</v>
          </cell>
        </row>
        <row r="12">
          <cell r="A12" t="e">
            <v>#N/A</v>
          </cell>
          <cell r="B12">
            <v>0</v>
          </cell>
          <cell r="C12">
            <v>0</v>
          </cell>
          <cell r="D12">
            <v>0</v>
          </cell>
          <cell r="E12">
            <v>0</v>
          </cell>
          <cell r="F12">
            <v>0</v>
          </cell>
          <cell r="G12">
            <v>0</v>
          </cell>
          <cell r="H12">
            <v>0</v>
          </cell>
        </row>
        <row r="13">
          <cell r="A13" t="e">
            <v>#N/A</v>
          </cell>
          <cell r="B13">
            <v>0</v>
          </cell>
          <cell r="C13">
            <v>0</v>
          </cell>
          <cell r="D13">
            <v>0</v>
          </cell>
          <cell r="E13">
            <v>0</v>
          </cell>
          <cell r="F13">
            <v>0</v>
          </cell>
          <cell r="G13">
            <v>0</v>
          </cell>
          <cell r="H13">
            <v>0</v>
          </cell>
        </row>
        <row r="14">
          <cell r="A14" t="e">
            <v>#N/A</v>
          </cell>
          <cell r="B14">
            <v>0</v>
          </cell>
          <cell r="C14">
            <v>0</v>
          </cell>
          <cell r="D14">
            <v>0</v>
          </cell>
          <cell r="E14">
            <v>0</v>
          </cell>
          <cell r="F14">
            <v>0</v>
          </cell>
          <cell r="G14">
            <v>0</v>
          </cell>
          <cell r="H14">
            <v>0</v>
          </cell>
        </row>
        <row r="15">
          <cell r="A15" t="e">
            <v>#N/A</v>
          </cell>
          <cell r="B15">
            <v>0</v>
          </cell>
          <cell r="C15">
            <v>0</v>
          </cell>
          <cell r="D15">
            <v>0</v>
          </cell>
          <cell r="E15">
            <v>0</v>
          </cell>
          <cell r="F15">
            <v>0</v>
          </cell>
          <cell r="G15">
            <v>0</v>
          </cell>
          <cell r="H15">
            <v>0</v>
          </cell>
        </row>
        <row r="16">
          <cell r="A16" t="e">
            <v>#N/A</v>
          </cell>
          <cell r="B16">
            <v>0</v>
          </cell>
          <cell r="C16">
            <v>0</v>
          </cell>
          <cell r="D16">
            <v>0</v>
          </cell>
          <cell r="E16">
            <v>0</v>
          </cell>
          <cell r="F16">
            <v>0</v>
          </cell>
          <cell r="G16">
            <v>0</v>
          </cell>
          <cell r="H16">
            <v>0</v>
          </cell>
        </row>
        <row r="17">
          <cell r="A17" t="e">
            <v>#N/A</v>
          </cell>
          <cell r="B17">
            <v>0</v>
          </cell>
          <cell r="C17">
            <v>0</v>
          </cell>
          <cell r="D17">
            <v>0</v>
          </cell>
          <cell r="E17">
            <v>0</v>
          </cell>
          <cell r="F17">
            <v>0</v>
          </cell>
          <cell r="G17">
            <v>0</v>
          </cell>
          <cell r="H17">
            <v>0</v>
          </cell>
        </row>
        <row r="18">
          <cell r="A18" t="e">
            <v>#N/A</v>
          </cell>
          <cell r="B18">
            <v>0</v>
          </cell>
          <cell r="C18">
            <v>0</v>
          </cell>
          <cell r="D18">
            <v>0</v>
          </cell>
          <cell r="E18">
            <v>0</v>
          </cell>
          <cell r="F18">
            <v>0</v>
          </cell>
          <cell r="G18">
            <v>0</v>
          </cell>
          <cell r="H18">
            <v>0</v>
          </cell>
        </row>
        <row r="19">
          <cell r="A19" t="e">
            <v>#N/A</v>
          </cell>
          <cell r="B19">
            <v>0</v>
          </cell>
          <cell r="C19">
            <v>0</v>
          </cell>
          <cell r="D19">
            <v>0</v>
          </cell>
          <cell r="E19">
            <v>0</v>
          </cell>
          <cell r="F19">
            <v>0</v>
          </cell>
          <cell r="G19">
            <v>0</v>
          </cell>
          <cell r="H19">
            <v>0</v>
          </cell>
        </row>
        <row r="20">
          <cell r="A20" t="e">
            <v>#N/A</v>
          </cell>
          <cell r="B20">
            <v>0</v>
          </cell>
          <cell r="C20">
            <v>0</v>
          </cell>
          <cell r="D20">
            <v>0</v>
          </cell>
          <cell r="E20">
            <v>0</v>
          </cell>
          <cell r="F20">
            <v>0</v>
          </cell>
          <cell r="G20">
            <v>0</v>
          </cell>
          <cell r="H20">
            <v>0</v>
          </cell>
        </row>
        <row r="21">
          <cell r="A21" t="e">
            <v>#N/A</v>
          </cell>
          <cell r="B21">
            <v>0</v>
          </cell>
          <cell r="C21">
            <v>0</v>
          </cell>
          <cell r="D21">
            <v>0</v>
          </cell>
          <cell r="E21">
            <v>0</v>
          </cell>
          <cell r="F21">
            <v>0</v>
          </cell>
          <cell r="G21">
            <v>0</v>
          </cell>
          <cell r="H21">
            <v>0</v>
          </cell>
        </row>
        <row r="22">
          <cell r="A22" t="e">
            <v>#N/A</v>
          </cell>
          <cell r="B22">
            <v>0</v>
          </cell>
          <cell r="C22">
            <v>0</v>
          </cell>
          <cell r="D22">
            <v>0</v>
          </cell>
          <cell r="E22">
            <v>0</v>
          </cell>
          <cell r="F22">
            <v>0</v>
          </cell>
          <cell r="G22">
            <v>0</v>
          </cell>
          <cell r="H22">
            <v>0</v>
          </cell>
        </row>
        <row r="23">
          <cell r="A23" t="e">
            <v>#N/A</v>
          </cell>
          <cell r="B23">
            <v>0</v>
          </cell>
          <cell r="C23">
            <v>0</v>
          </cell>
          <cell r="D23">
            <v>0</v>
          </cell>
          <cell r="E23">
            <v>0</v>
          </cell>
          <cell r="F23">
            <v>0</v>
          </cell>
          <cell r="G23">
            <v>0</v>
          </cell>
          <cell r="H23">
            <v>0</v>
          </cell>
        </row>
        <row r="24">
          <cell r="A24" t="e">
            <v>#N/A</v>
          </cell>
          <cell r="B24">
            <v>0</v>
          </cell>
          <cell r="C24">
            <v>0</v>
          </cell>
          <cell r="D24">
            <v>0</v>
          </cell>
          <cell r="E24">
            <v>0</v>
          </cell>
          <cell r="F24">
            <v>0</v>
          </cell>
          <cell r="G24">
            <v>0</v>
          </cell>
          <cell r="H24">
            <v>0</v>
          </cell>
        </row>
        <row r="25">
          <cell r="A25" t="e">
            <v>#N/A</v>
          </cell>
          <cell r="B25">
            <v>0</v>
          </cell>
          <cell r="C25">
            <v>0</v>
          </cell>
          <cell r="D25">
            <v>0</v>
          </cell>
          <cell r="E25">
            <v>0</v>
          </cell>
          <cell r="F25">
            <v>0</v>
          </cell>
          <cell r="G25">
            <v>0</v>
          </cell>
          <cell r="H25">
            <v>0</v>
          </cell>
        </row>
        <row r="26">
          <cell r="A26" t="e">
            <v>#N/A</v>
          </cell>
          <cell r="B26">
            <v>0</v>
          </cell>
          <cell r="C26">
            <v>0</v>
          </cell>
          <cell r="D26">
            <v>0</v>
          </cell>
          <cell r="E26">
            <v>0</v>
          </cell>
          <cell r="F26">
            <v>0</v>
          </cell>
          <cell r="G26">
            <v>0</v>
          </cell>
          <cell r="H26">
            <v>0</v>
          </cell>
        </row>
        <row r="27">
          <cell r="A27" t="e">
            <v>#N/A</v>
          </cell>
          <cell r="B27">
            <v>0</v>
          </cell>
          <cell r="C27">
            <v>0</v>
          </cell>
          <cell r="D27">
            <v>0</v>
          </cell>
          <cell r="E27">
            <v>0</v>
          </cell>
          <cell r="F27">
            <v>0</v>
          </cell>
          <cell r="G27">
            <v>0</v>
          </cell>
          <cell r="H27">
            <v>0</v>
          </cell>
        </row>
        <row r="28">
          <cell r="A28" t="e">
            <v>#N/A</v>
          </cell>
          <cell r="B28">
            <v>0</v>
          </cell>
          <cell r="C28">
            <v>0</v>
          </cell>
          <cell r="D28">
            <v>0</v>
          </cell>
          <cell r="E28">
            <v>0</v>
          </cell>
          <cell r="F28">
            <v>0</v>
          </cell>
          <cell r="G28">
            <v>0</v>
          </cell>
          <cell r="H28">
            <v>0</v>
          </cell>
        </row>
        <row r="29">
          <cell r="A29" t="e">
            <v>#N/A</v>
          </cell>
          <cell r="B29">
            <v>0</v>
          </cell>
          <cell r="C29">
            <v>0</v>
          </cell>
          <cell r="D29">
            <v>0</v>
          </cell>
          <cell r="E29">
            <v>0</v>
          </cell>
          <cell r="F29">
            <v>0</v>
          </cell>
          <cell r="G29">
            <v>0</v>
          </cell>
          <cell r="H29">
            <v>0</v>
          </cell>
        </row>
        <row r="30">
          <cell r="A30" t="e">
            <v>#N/A</v>
          </cell>
          <cell r="B30">
            <v>0</v>
          </cell>
          <cell r="C30">
            <v>0</v>
          </cell>
          <cell r="D30">
            <v>0</v>
          </cell>
          <cell r="E30">
            <v>0</v>
          </cell>
          <cell r="F30">
            <v>0</v>
          </cell>
          <cell r="G30">
            <v>0</v>
          </cell>
          <cell r="H30">
            <v>0</v>
          </cell>
        </row>
        <row r="31">
          <cell r="A31" t="e">
            <v>#N/A</v>
          </cell>
          <cell r="B31">
            <v>0</v>
          </cell>
          <cell r="C31">
            <v>0</v>
          </cell>
          <cell r="D31">
            <v>0</v>
          </cell>
          <cell r="E31">
            <v>0</v>
          </cell>
          <cell r="F31">
            <v>0</v>
          </cell>
          <cell r="G31">
            <v>0</v>
          </cell>
          <cell r="H31">
            <v>0</v>
          </cell>
        </row>
        <row r="32">
          <cell r="A32" t="e">
            <v>#N/A</v>
          </cell>
          <cell r="B32">
            <v>0</v>
          </cell>
          <cell r="C32">
            <v>0</v>
          </cell>
          <cell r="D32">
            <v>0</v>
          </cell>
          <cell r="E32">
            <v>0</v>
          </cell>
          <cell r="F32">
            <v>0</v>
          </cell>
          <cell r="G32">
            <v>0</v>
          </cell>
          <cell r="H32">
            <v>0</v>
          </cell>
        </row>
        <row r="33">
          <cell r="A33" t="e">
            <v>#N/A</v>
          </cell>
          <cell r="B33">
            <v>0</v>
          </cell>
          <cell r="C33">
            <v>0</v>
          </cell>
          <cell r="D33">
            <v>0</v>
          </cell>
          <cell r="E33">
            <v>0</v>
          </cell>
          <cell r="F33">
            <v>0</v>
          </cell>
          <cell r="G33">
            <v>0</v>
          </cell>
          <cell r="H33">
            <v>0</v>
          </cell>
        </row>
        <row r="34">
          <cell r="A34" t="e">
            <v>#N/A</v>
          </cell>
          <cell r="B34">
            <v>0</v>
          </cell>
          <cell r="C34">
            <v>0</v>
          </cell>
          <cell r="D34">
            <v>0</v>
          </cell>
          <cell r="E34">
            <v>0</v>
          </cell>
          <cell r="F34">
            <v>0</v>
          </cell>
          <cell r="G34">
            <v>0</v>
          </cell>
          <cell r="H34">
            <v>0</v>
          </cell>
        </row>
        <row r="35">
          <cell r="A35" t="e">
            <v>#N/A</v>
          </cell>
          <cell r="B35">
            <v>0</v>
          </cell>
          <cell r="C35">
            <v>0</v>
          </cell>
          <cell r="D35">
            <v>0</v>
          </cell>
          <cell r="E35">
            <v>0</v>
          </cell>
          <cell r="F35">
            <v>0</v>
          </cell>
          <cell r="G35">
            <v>0</v>
          </cell>
          <cell r="H35">
            <v>0</v>
          </cell>
        </row>
        <row r="36">
          <cell r="A36" t="str">
            <v>Total Low-Income Units:</v>
          </cell>
          <cell r="B36">
            <v>0</v>
          </cell>
          <cell r="C36">
            <v>0</v>
          </cell>
          <cell r="D36">
            <v>0</v>
          </cell>
          <cell r="F36">
            <v>0</v>
          </cell>
          <cell r="H36">
            <v>0</v>
          </cell>
        </row>
        <row r="37">
          <cell r="A37" t="str">
            <v>Average Affordability</v>
          </cell>
          <cell r="H37" t="str">
            <v>% of units</v>
          </cell>
        </row>
        <row r="38">
          <cell r="A38" t="str">
            <v xml:space="preserve">Threshold </v>
          </cell>
          <cell r="C38">
            <v>0.4</v>
          </cell>
          <cell r="H38" t="str">
            <v xml:space="preserve">@ each </v>
          </cell>
        </row>
        <row r="39">
          <cell r="A39" t="str">
            <v>Proposed Av Afford</v>
          </cell>
          <cell r="C39" t="e">
            <v>#DIV/0!</v>
          </cell>
          <cell r="H39" t="str">
            <v>Income Level</v>
          </cell>
        </row>
        <row r="40">
          <cell r="A40" t="str">
            <v>Difference</v>
          </cell>
          <cell r="C40" t="e">
            <v>#DIV/0!</v>
          </cell>
          <cell r="H40" t="e">
            <v>#DIV/0!</v>
          </cell>
        </row>
        <row r="41">
          <cell r="H41" t="e">
            <v>#DIV/0!</v>
          </cell>
        </row>
        <row r="42">
          <cell r="A42" t="str">
            <v>Elevator</v>
          </cell>
          <cell r="C42">
            <v>0</v>
          </cell>
          <cell r="F42" t="str">
            <v>no</v>
          </cell>
          <cell r="H42" t="e">
            <v>#DIV/0!</v>
          </cell>
        </row>
        <row r="43">
          <cell r="A43" t="str">
            <v>3+ Energy Efficiency Features</v>
          </cell>
          <cell r="C43">
            <v>0</v>
          </cell>
          <cell r="F43" t="str">
            <v>no</v>
          </cell>
          <cell r="H43" t="e">
            <v>#DIV/0!</v>
          </cell>
        </row>
        <row r="44">
          <cell r="A44" t="str">
            <v>Number Extraordinary Features</v>
          </cell>
          <cell r="C44">
            <v>0</v>
          </cell>
          <cell r="D44" t="str">
            <v>(Actual Number)</v>
          </cell>
          <cell r="H44" t="e">
            <v>#DIV/0!</v>
          </cell>
        </row>
        <row r="45">
          <cell r="A45" t="str">
            <v>Seismic</v>
          </cell>
          <cell r="C45">
            <v>0</v>
          </cell>
          <cell r="F45" t="str">
            <v>no</v>
          </cell>
          <cell r="H45" t="e">
            <v>#DIV/0!</v>
          </cell>
        </row>
        <row r="46">
          <cell r="A46" t="str">
            <v>Enviromental Mitigation</v>
          </cell>
          <cell r="C46">
            <v>0</v>
          </cell>
          <cell r="F46" t="str">
            <v>no</v>
          </cell>
          <cell r="H46" t="e">
            <v>#DIV/0!</v>
          </cell>
        </row>
        <row r="47">
          <cell r="A47" t="str">
            <v>Impact Fees (Attach. 38A)</v>
          </cell>
          <cell r="C47">
            <v>0</v>
          </cell>
          <cell r="F47" t="str">
            <v>no</v>
          </cell>
          <cell r="H47" t="e">
            <v>#DIV/0!</v>
          </cell>
        </row>
        <row r="48">
          <cell r="A48" t="str">
            <v>100% Special Needs</v>
          </cell>
          <cell r="C48">
            <v>0</v>
          </cell>
          <cell r="F48" t="str">
            <v>no</v>
          </cell>
          <cell r="H48" t="e">
            <v>#DIV/0!</v>
          </cell>
        </row>
        <row r="49">
          <cell r="A49" t="str">
            <v>Day Care Center</v>
          </cell>
          <cell r="C49">
            <v>0</v>
          </cell>
          <cell r="F49" t="str">
            <v>no</v>
          </cell>
          <cell r="H49" t="e">
            <v>#DIV/0!</v>
          </cell>
        </row>
        <row r="50">
          <cell r="A50" t="str">
            <v>Prevailing wages (38B)</v>
          </cell>
          <cell r="C50">
            <v>0</v>
          </cell>
          <cell r="F50" t="str">
            <v>no</v>
          </cell>
          <cell r="H50" t="e">
            <v>#DIV/0!</v>
          </cell>
        </row>
        <row r="51">
          <cell r="A51" t="str">
            <v>Sub Terranean Parking (38B)(i)</v>
          </cell>
          <cell r="C51">
            <v>0</v>
          </cell>
          <cell r="F51" t="str">
            <v>no</v>
          </cell>
          <cell r="H51" t="e">
            <v>#DIV/0!</v>
          </cell>
        </row>
        <row r="52">
          <cell r="A52" t="str">
            <v>* New Energy Tech.  (38E)</v>
          </cell>
          <cell r="C52">
            <v>0</v>
          </cell>
          <cell r="F52" t="str">
            <v>no</v>
          </cell>
          <cell r="H52" t="e">
            <v>#DIV/0!</v>
          </cell>
        </row>
        <row r="53">
          <cell r="A53" t="str">
            <v>** 55-Year Afford. Restriction</v>
          </cell>
          <cell r="C53">
            <v>0</v>
          </cell>
          <cell r="F53" t="str">
            <v>no</v>
          </cell>
        </row>
        <row r="54">
          <cell r="A54" t="str">
            <v>DDA/ QCT</v>
          </cell>
          <cell r="B54" t="str">
            <v>60%</v>
          </cell>
          <cell r="C54">
            <v>0</v>
          </cell>
          <cell r="D54" t="str">
            <v>80% W/50%</v>
          </cell>
          <cell r="E54">
            <v>0</v>
          </cell>
          <cell r="F54" t="str">
            <v>(1=Y or 0=N)</v>
          </cell>
        </row>
        <row r="55">
          <cell r="A55" t="str">
            <v>NON-DDA/QCT</v>
          </cell>
          <cell r="B55" t="str">
            <v>80%</v>
          </cell>
          <cell r="C55">
            <v>1</v>
          </cell>
          <cell r="D55" t="str">
            <v>100%/W/50%</v>
          </cell>
          <cell r="E55">
            <v>0</v>
          </cell>
          <cell r="F55" t="str">
            <v>(1=Y or 0=N)</v>
          </cell>
        </row>
        <row r="56">
          <cell r="A56" t="str">
            <v>Basis Limit Calculation</v>
          </cell>
        </row>
        <row r="57">
          <cell r="A57" t="str">
            <v>Unit Size</v>
          </cell>
          <cell r="B57" t="str">
            <v>Unit Basis Limit</v>
          </cell>
          <cell r="D57" t="str">
            <v>No. of Units</v>
          </cell>
          <cell r="E57" t="str">
            <v>(Basis) X (No. of Units)</v>
          </cell>
        </row>
        <row r="58">
          <cell r="A58" t="str">
            <v>SRO/STUDIO</v>
          </cell>
          <cell r="B58">
            <v>0</v>
          </cell>
          <cell r="D58">
            <v>0</v>
          </cell>
          <cell r="E58">
            <v>0</v>
          </cell>
          <cell r="G58" t="str">
            <v>a)</v>
          </cell>
          <cell r="H58">
            <v>0</v>
          </cell>
        </row>
        <row r="59">
          <cell r="A59" t="str">
            <v>1 Bedroom</v>
          </cell>
          <cell r="B59">
            <v>0</v>
          </cell>
          <cell r="D59">
            <v>0</v>
          </cell>
          <cell r="E59">
            <v>0</v>
          </cell>
          <cell r="G59" t="str">
            <v>b)</v>
          </cell>
          <cell r="H59">
            <v>0</v>
          </cell>
        </row>
        <row r="60">
          <cell r="A60" t="str">
            <v>2 Bedrooms</v>
          </cell>
          <cell r="B60">
            <v>0</v>
          </cell>
          <cell r="D60">
            <v>0</v>
          </cell>
          <cell r="E60">
            <v>0</v>
          </cell>
          <cell r="G60" t="str">
            <v>c)</v>
          </cell>
          <cell r="H60">
            <v>0</v>
          </cell>
        </row>
        <row r="61">
          <cell r="A61" t="str">
            <v>3 Bedrooms</v>
          </cell>
          <cell r="B61">
            <v>0</v>
          </cell>
          <cell r="D61">
            <v>0</v>
          </cell>
          <cell r="E61">
            <v>0</v>
          </cell>
          <cell r="G61" t="str">
            <v>d)</v>
          </cell>
          <cell r="H61">
            <v>0</v>
          </cell>
        </row>
        <row r="62">
          <cell r="A62" t="str">
            <v>4+ Bedrooms</v>
          </cell>
          <cell r="B62">
            <v>0</v>
          </cell>
          <cell r="D62">
            <v>0</v>
          </cell>
          <cell r="E62">
            <v>0</v>
          </cell>
          <cell r="G62" t="str">
            <v>e)</v>
          </cell>
        </row>
        <row r="63">
          <cell r="B63" t="str">
            <v>1= yes 2= no</v>
          </cell>
          <cell r="D63" t="str">
            <v>max %</v>
          </cell>
          <cell r="E63">
            <v>0</v>
          </cell>
          <cell r="G63" t="str">
            <v>f)</v>
          </cell>
        </row>
        <row r="64">
          <cell r="A64" t="str">
            <v>a) prev wages</v>
          </cell>
          <cell r="B64">
            <v>0</v>
          </cell>
          <cell r="D64">
            <v>0.2</v>
          </cell>
          <cell r="E64">
            <v>0</v>
          </cell>
          <cell r="G64" t="str">
            <v>g)</v>
          </cell>
        </row>
        <row r="65">
          <cell r="A65" t="str">
            <v>b) parking</v>
          </cell>
          <cell r="B65">
            <v>0</v>
          </cell>
          <cell r="D65">
            <v>7.0000000000000007E-2</v>
          </cell>
          <cell r="E65">
            <v>0</v>
          </cell>
          <cell r="G65" t="str">
            <v>h)</v>
          </cell>
        </row>
        <row r="66">
          <cell r="A66" t="str">
            <v>c) day care center</v>
          </cell>
          <cell r="B66">
            <v>0</v>
          </cell>
          <cell r="D66">
            <v>0.02</v>
          </cell>
          <cell r="E66">
            <v>0</v>
          </cell>
          <cell r="G66" t="str">
            <v>i)</v>
          </cell>
          <cell r="H66">
            <v>0</v>
          </cell>
        </row>
        <row r="67">
          <cell r="A67" t="str">
            <v>d) special needs</v>
          </cell>
          <cell r="B67">
            <v>0</v>
          </cell>
          <cell r="D67">
            <v>0.02</v>
          </cell>
          <cell r="E67">
            <v>0</v>
          </cell>
          <cell r="G67" t="str">
            <v>total</v>
          </cell>
          <cell r="H67">
            <v>0</v>
          </cell>
        </row>
        <row r="68">
          <cell r="A68" t="str">
            <v>e) 3 title 24 selections</v>
          </cell>
          <cell r="B68">
            <v>0</v>
          </cell>
          <cell r="D68">
            <v>0.04</v>
          </cell>
          <cell r="E68">
            <v>0</v>
          </cell>
          <cell r="G68" t="str">
            <v>pass 39% test?</v>
          </cell>
        </row>
        <row r="69">
          <cell r="A69" t="str">
            <v>f) seismic/enviro</v>
          </cell>
          <cell r="B69">
            <v>0</v>
          </cell>
          <cell r="D69">
            <v>0.15</v>
          </cell>
          <cell r="E69">
            <v>0</v>
          </cell>
          <cell r="G69" t="str">
            <v>max=</v>
          </cell>
          <cell r="H69">
            <v>0</v>
          </cell>
        </row>
        <row r="70">
          <cell r="A70" t="str">
            <v>g) energies</v>
          </cell>
          <cell r="B70">
            <v>0</v>
          </cell>
          <cell r="D70">
            <v>0.05</v>
          </cell>
          <cell r="E70">
            <v>0</v>
          </cell>
          <cell r="G70" t="str">
            <v>max=</v>
          </cell>
          <cell r="H70">
            <v>0</v>
          </cell>
        </row>
        <row r="71">
          <cell r="A71" t="str">
            <v>h) impact fees</v>
          </cell>
          <cell r="B71">
            <v>0</v>
          </cell>
        </row>
        <row r="72">
          <cell r="A72" t="str">
            <v>i) elevator</v>
          </cell>
          <cell r="B72">
            <v>0</v>
          </cell>
          <cell r="D72">
            <v>0.1</v>
          </cell>
          <cell r="E72">
            <v>0</v>
          </cell>
        </row>
        <row r="73">
          <cell r="E73">
            <v>0</v>
          </cell>
          <cell r="G73" t="str">
            <v>ADJUSTED THRESHOLD BASIS LIMIT</v>
          </cell>
        </row>
        <row r="119">
          <cell r="A119" t="str">
            <v>Page 7</v>
          </cell>
          <cell r="C119" t="str">
            <v>Basis Limit</v>
          </cell>
          <cell r="D119" t="str">
            <v>Basis x</v>
          </cell>
          <cell r="E119" t="str">
            <v xml:space="preserve">Total </v>
          </cell>
        </row>
        <row r="120">
          <cell r="A120" t="str">
            <v># bedrms</v>
          </cell>
          <cell r="B120" t="str">
            <v># Units</v>
          </cell>
          <cell r="D120" t="str">
            <v># Units</v>
          </cell>
          <cell r="E120" t="str">
            <v>Bedrooms</v>
          </cell>
          <cell r="H120" t="str">
            <v>Calculation</v>
          </cell>
        </row>
        <row r="121">
          <cell r="A121">
            <v>0</v>
          </cell>
          <cell r="B121">
            <v>0</v>
          </cell>
          <cell r="C121">
            <v>0</v>
          </cell>
          <cell r="D121">
            <v>0</v>
          </cell>
          <cell r="E121">
            <v>0</v>
          </cell>
        </row>
        <row r="122">
          <cell r="A122">
            <v>1</v>
          </cell>
          <cell r="B122">
            <v>24</v>
          </cell>
          <cell r="C122">
            <v>136428</v>
          </cell>
          <cell r="D122">
            <v>3274272</v>
          </cell>
          <cell r="E122">
            <v>24</v>
          </cell>
          <cell r="H122">
            <v>0.02</v>
          </cell>
        </row>
        <row r="123">
          <cell r="A123">
            <v>2</v>
          </cell>
          <cell r="B123">
            <v>32</v>
          </cell>
          <cell r="C123">
            <v>165898</v>
          </cell>
          <cell r="D123">
            <v>5308736</v>
          </cell>
          <cell r="E123">
            <v>64</v>
          </cell>
          <cell r="H123">
            <v>274675.36</v>
          </cell>
        </row>
        <row r="124">
          <cell r="A124">
            <v>3</v>
          </cell>
          <cell r="B124">
            <v>24</v>
          </cell>
          <cell r="C124">
            <v>214615</v>
          </cell>
          <cell r="D124">
            <v>5150760</v>
          </cell>
          <cell r="E124">
            <v>72</v>
          </cell>
          <cell r="H124">
            <v>0.04</v>
          </cell>
        </row>
        <row r="125">
          <cell r="A125">
            <v>4</v>
          </cell>
          <cell r="B125">
            <v>0</v>
          </cell>
          <cell r="C125">
            <v>0</v>
          </cell>
          <cell r="D125">
            <v>0</v>
          </cell>
          <cell r="E125">
            <v>0</v>
          </cell>
          <cell r="H125">
            <v>549350.72</v>
          </cell>
        </row>
        <row r="126">
          <cell r="A126">
            <v>5</v>
          </cell>
          <cell r="B126">
            <v>0</v>
          </cell>
          <cell r="C126">
            <v>0</v>
          </cell>
          <cell r="D126">
            <v>0</v>
          </cell>
          <cell r="E126">
            <v>0</v>
          </cell>
          <cell r="H126">
            <v>0.05</v>
          </cell>
        </row>
        <row r="127">
          <cell r="A127" t="str">
            <v>Threshold Basis Limits</v>
          </cell>
          <cell r="B127">
            <v>80</v>
          </cell>
          <cell r="C127" t="str">
            <v>Total</v>
          </cell>
          <cell r="D127">
            <v>13733768</v>
          </cell>
          <cell r="E127">
            <v>160</v>
          </cell>
          <cell r="F127" t="str">
            <v>Features</v>
          </cell>
          <cell r="H127">
            <v>686688.4</v>
          </cell>
        </row>
        <row r="128">
          <cell r="A128" t="str">
            <v>Prevailing Wages (17B)</v>
          </cell>
          <cell r="B128" t="str">
            <v xml:space="preserve">plus </v>
          </cell>
          <cell r="C128">
            <v>0.2</v>
          </cell>
          <cell r="D128">
            <v>0</v>
          </cell>
          <cell r="E128">
            <v>0</v>
          </cell>
          <cell r="F128" t="str">
            <v>no</v>
          </cell>
          <cell r="H128">
            <v>7.0000000000000007E-2</v>
          </cell>
        </row>
        <row r="129">
          <cell r="A129" t="str">
            <v>Sub Terranean Parking</v>
          </cell>
          <cell r="B129" t="str">
            <v xml:space="preserve">plus </v>
          </cell>
          <cell r="C129">
            <v>7.0000000000000007E-2</v>
          </cell>
          <cell r="D129">
            <v>0</v>
          </cell>
          <cell r="E129">
            <v>0</v>
          </cell>
          <cell r="F129" t="str">
            <v>no</v>
          </cell>
          <cell r="H129">
            <v>961363.76000000013</v>
          </cell>
        </row>
        <row r="130">
          <cell r="A130" t="str">
            <v>Day Care Center</v>
          </cell>
          <cell r="B130" t="str">
            <v xml:space="preserve">plus </v>
          </cell>
          <cell r="C130">
            <v>0.02</v>
          </cell>
          <cell r="D130">
            <v>0</v>
          </cell>
          <cell r="E130">
            <v>0</v>
          </cell>
          <cell r="F130" t="str">
            <v>no</v>
          </cell>
          <cell r="H130">
            <v>0.12</v>
          </cell>
        </row>
        <row r="131">
          <cell r="A131" t="str">
            <v>100% Special Needs</v>
          </cell>
          <cell r="B131" t="str">
            <v xml:space="preserve">plus </v>
          </cell>
          <cell r="C131">
            <v>0.02</v>
          </cell>
          <cell r="D131">
            <v>0</v>
          </cell>
          <cell r="E131">
            <v>0</v>
          </cell>
          <cell r="F131" t="str">
            <v>no</v>
          </cell>
          <cell r="H131">
            <v>1648052.16</v>
          </cell>
        </row>
        <row r="132">
          <cell r="A132" t="str">
            <v>Sub-total 29% Limitation</v>
          </cell>
          <cell r="D132">
            <v>0</v>
          </cell>
          <cell r="E132">
            <v>0</v>
          </cell>
          <cell r="F132" t="str">
            <v>- MUST BE &lt; = 29%.</v>
          </cell>
          <cell r="H132">
            <v>0.15</v>
          </cell>
        </row>
        <row r="133">
          <cell r="A133" t="str">
            <v>3+ Efficiency Items</v>
          </cell>
          <cell r="B133" t="str">
            <v xml:space="preserve">plus </v>
          </cell>
          <cell r="C133">
            <v>0.04</v>
          </cell>
          <cell r="D133">
            <v>0</v>
          </cell>
          <cell r="F133" t="str">
            <v>no</v>
          </cell>
          <cell r="H133">
            <v>2060065.2</v>
          </cell>
        </row>
        <row r="134">
          <cell r="A134" t="str">
            <v xml:space="preserve">Seismic or Environmental </v>
          </cell>
          <cell r="B134" t="str">
            <v xml:space="preserve">plus </v>
          </cell>
          <cell r="C134" t="str">
            <v>Up to 15%</v>
          </cell>
          <cell r="D134">
            <v>0</v>
          </cell>
          <cell r="F134" t="str">
            <v>no</v>
          </cell>
          <cell r="H134">
            <v>0.2</v>
          </cell>
        </row>
        <row r="135">
          <cell r="A135" t="str">
            <v>New Energy Technologies</v>
          </cell>
          <cell r="B135" t="str">
            <v xml:space="preserve">plus </v>
          </cell>
          <cell r="C135" t="str">
            <v>Up to 5%</v>
          </cell>
          <cell r="D135">
            <v>0</v>
          </cell>
          <cell r="F135" t="str">
            <v>no</v>
          </cell>
          <cell r="H135">
            <v>2746753.6</v>
          </cell>
        </row>
        <row r="136">
          <cell r="A136" t="str">
            <v>Impact Fees</v>
          </cell>
          <cell r="B136" t="str">
            <v xml:space="preserve">plus </v>
          </cell>
          <cell r="C136" t="str">
            <v>impact fees</v>
          </cell>
          <cell r="D136">
            <v>1507918</v>
          </cell>
          <cell r="F136" t="str">
            <v>no</v>
          </cell>
          <cell r="H136">
            <v>0.4</v>
          </cell>
        </row>
        <row r="137">
          <cell r="A137" t="str">
            <v>High Cost Area/QCT</v>
          </cell>
          <cell r="B137" t="str">
            <v xml:space="preserve">plus </v>
          </cell>
          <cell r="C137" t="str">
            <v>60% or 80%</v>
          </cell>
          <cell r="D137">
            <v>0</v>
          </cell>
          <cell r="F137" t="str">
            <v>no</v>
          </cell>
          <cell r="H137">
            <v>5493507.2000000002</v>
          </cell>
        </row>
        <row r="138">
          <cell r="A138" t="str">
            <v xml:space="preserve">Non High Cost Area/QCT </v>
          </cell>
          <cell r="B138" t="str">
            <v xml:space="preserve">plus </v>
          </cell>
          <cell r="C138" t="str">
            <v>80% or 100%</v>
          </cell>
          <cell r="D138">
            <v>10987014.4</v>
          </cell>
          <cell r="F138" t="str">
            <v>no</v>
          </cell>
          <cell r="H138">
            <v>0.6</v>
          </cell>
        </row>
        <row r="139">
          <cell r="A139" t="str">
            <v>MAX. THRESHOLD BASIS LIMIT BEFORE 10%</v>
          </cell>
          <cell r="D139">
            <v>26228700.399999999</v>
          </cell>
          <cell r="H139">
            <v>8240260.7999999998</v>
          </cell>
        </row>
        <row r="140">
          <cell r="A140" t="str">
            <v>10% County Boost</v>
          </cell>
          <cell r="D140" t="e">
            <v>#N/A</v>
          </cell>
        </row>
        <row r="141">
          <cell r="A141" t="str">
            <v>MAX. ADJUSTED THRESHOLD BASIS LIMIT</v>
          </cell>
          <cell r="D141" t="e">
            <v>#N/A</v>
          </cell>
          <cell r="H141">
            <v>0.8</v>
          </cell>
        </row>
        <row r="142">
          <cell r="A142" t="str">
            <v>TOTAL Req. Unadj. Eligible Basis (page 33)</v>
          </cell>
          <cell r="D142">
            <v>13737191</v>
          </cell>
          <cell r="H142">
            <v>10987014.4</v>
          </cell>
        </row>
        <row r="143">
          <cell r="A143" t="str">
            <v>(Basis per Bedroom)</v>
          </cell>
          <cell r="D143">
            <v>85857.443750000006</v>
          </cell>
          <cell r="F143" t="str">
            <v>Density Per Acre</v>
          </cell>
          <cell r="H143" t="e">
            <v>#DIV/0!</v>
          </cell>
        </row>
      </sheetData>
      <sheetData sheetId="1" refreshError="1">
        <row r="4">
          <cell r="X4">
            <v>39505.471525115739</v>
          </cell>
          <cell r="AC4" t="str">
            <v xml:space="preserve">     TAX CREDIT ALLOCATION COMMITTEE</v>
          </cell>
          <cell r="AJ4" t="str">
            <v xml:space="preserve">Date Prepared:  </v>
          </cell>
          <cell r="AL4">
            <v>39505.471525115739</v>
          </cell>
        </row>
        <row r="5">
          <cell r="X5" t="str">
            <v>Analyst:</v>
          </cell>
          <cell r="Y5">
            <v>0</v>
          </cell>
          <cell r="AC5" t="str">
            <v xml:space="preserve">      PROJECT EVALUATION WORKSHEET</v>
          </cell>
          <cell r="AJ5" t="str">
            <v>Project Stage:</v>
          </cell>
          <cell r="AL5" t="str">
            <v>Preliminary Reservation</v>
          </cell>
        </row>
        <row r="7">
          <cell r="X7" t="str">
            <v>Project Number:</v>
          </cell>
          <cell r="AA7" t="e">
            <v>#VALUE!</v>
          </cell>
          <cell r="AD7" t="str">
            <v xml:space="preserve">            Credit Requested:</v>
          </cell>
          <cell r="AH7" t="str">
            <v>Recommended:</v>
          </cell>
          <cell r="AJ7" t="str">
            <v>Max Threshold Basis Limit</v>
          </cell>
          <cell r="AL7">
            <v>14395413</v>
          </cell>
        </row>
        <row r="8">
          <cell r="X8" t="str">
            <v>Project Name:</v>
          </cell>
          <cell r="AA8">
            <v>0</v>
          </cell>
          <cell r="AD8" t="str">
            <v xml:space="preserve">  Federal</v>
          </cell>
          <cell r="AF8">
            <v>0</v>
          </cell>
          <cell r="AH8" t="e">
            <v>#DIV/0!</v>
          </cell>
          <cell r="AJ8" t="str">
            <v>Prevailing Wages</v>
          </cell>
          <cell r="AL8" t="str">
            <v>No</v>
          </cell>
        </row>
        <row r="9">
          <cell r="X9" t="str">
            <v>County:</v>
          </cell>
          <cell r="AA9" t="str">
            <v>(select one)</v>
          </cell>
          <cell r="AD9" t="str">
            <v xml:space="preserve">  State</v>
          </cell>
          <cell r="AF9">
            <v>0</v>
          </cell>
          <cell r="AH9" t="e">
            <v>#DIV/0!</v>
          </cell>
          <cell r="AJ9" t="str">
            <v>Sub Terranean Parking</v>
          </cell>
          <cell r="AL9" t="str">
            <v>No</v>
          </cell>
        </row>
        <row r="10">
          <cell r="X10" t="str">
            <v xml:space="preserve">Geographic Area: </v>
          </cell>
          <cell r="AA10" t="str">
            <v>Alameda, Contra Costa, Marin, Napa, Solano, Sonoma Counties</v>
          </cell>
          <cell r="AJ10" t="str">
            <v>Day Care Center</v>
          </cell>
          <cell r="AL10" t="str">
            <v>No</v>
          </cell>
        </row>
        <row r="11">
          <cell r="X11" t="str">
            <v>Geographic Apportionment</v>
          </cell>
          <cell r="AA11" t="str">
            <v>Yes</v>
          </cell>
          <cell r="AD11" t="str">
            <v>Re-Application:</v>
          </cell>
          <cell r="AF11">
            <v>0</v>
          </cell>
          <cell r="AJ11" t="str">
            <v xml:space="preserve">100% Special Needs </v>
          </cell>
          <cell r="AL11" t="str">
            <v>No</v>
          </cell>
        </row>
        <row r="12">
          <cell r="X12" t="str">
            <v>Type of Project:</v>
          </cell>
          <cell r="AA12" t="str">
            <v>(select one)</v>
          </cell>
          <cell r="AD12" t="str">
            <v>Project Number:</v>
          </cell>
          <cell r="AF12">
            <v>0</v>
          </cell>
          <cell r="AJ12" t="str">
            <v>Three Eff. Features</v>
          </cell>
          <cell r="AL12" t="str">
            <v>No</v>
          </cell>
        </row>
        <row r="13">
          <cell r="X13" t="str">
            <v>Selected Set-Aside:</v>
          </cell>
          <cell r="AA13" t="str">
            <v>N/A</v>
          </cell>
          <cell r="AD13" t="str">
            <v>Amount Currently Reserved:</v>
          </cell>
          <cell r="AJ13" t="str">
            <v>Seismic Upgrades/Environmental Mitigation</v>
          </cell>
          <cell r="AL13" t="str">
            <v>No</v>
          </cell>
        </row>
        <row r="14">
          <cell r="X14" t="str">
            <v>Type of Construction:</v>
          </cell>
          <cell r="AA14" t="str">
            <v>NC</v>
          </cell>
          <cell r="AD14" t="str">
            <v>Federal Amount:</v>
          </cell>
          <cell r="AF14">
            <v>0</v>
          </cell>
          <cell r="AJ14" t="str">
            <v xml:space="preserve">New Energy Technologies </v>
          </cell>
          <cell r="AL14" t="str">
            <v>No</v>
          </cell>
        </row>
        <row r="15">
          <cell r="X15" t="str">
            <v>Elevator:</v>
          </cell>
          <cell r="AA15">
            <v>0</v>
          </cell>
          <cell r="AD15" t="str">
            <v>State Amount:</v>
          </cell>
          <cell r="AF15">
            <v>0</v>
          </cell>
          <cell r="AJ15" t="str">
            <v>Local Impact Fees</v>
          </cell>
          <cell r="AL15" t="str">
            <v>Yes</v>
          </cell>
        </row>
        <row r="16">
          <cell r="X16" t="str">
            <v>Total Units:</v>
          </cell>
          <cell r="AA16">
            <v>0</v>
          </cell>
          <cell r="AJ16" t="str">
            <v>10% County Adjustment</v>
          </cell>
          <cell r="AL16" t="str">
            <v>No</v>
          </cell>
        </row>
        <row r="17">
          <cell r="X17" t="str">
            <v>Low Income Units:</v>
          </cell>
          <cell r="AA17">
            <v>0</v>
          </cell>
          <cell r="AD17" t="str">
            <v>% of Mixed Income units</v>
          </cell>
          <cell r="AF17">
            <v>0</v>
          </cell>
          <cell r="AJ17" t="str">
            <v>Requested Eligible Basis</v>
          </cell>
          <cell r="AL17">
            <v>0</v>
          </cell>
        </row>
        <row r="18">
          <cell r="X18" t="str">
            <v xml:space="preserve">Total # of non-tax credit units </v>
          </cell>
          <cell r="AA18" t="e">
            <v>#DIV/0!</v>
          </cell>
          <cell r="AJ18" t="str">
            <v>% below Threshold Limit</v>
          </cell>
          <cell r="AL18">
            <v>1</v>
          </cell>
        </row>
        <row r="19">
          <cell r="X19" t="str">
            <v>App. Fraction:</v>
          </cell>
          <cell r="AA19" t="e">
            <v>#DIV/0!</v>
          </cell>
          <cell r="AD19" t="str">
            <v>Minimum Setaside:</v>
          </cell>
          <cell r="AF19" t="str">
            <v>(select one)</v>
          </cell>
          <cell r="AJ19" t="str">
            <v>Actual Basis</v>
          </cell>
          <cell r="AL19">
            <v>0</v>
          </cell>
        </row>
        <row r="20">
          <cell r="X20" t="str">
            <v># Residental Buildings</v>
          </cell>
          <cell r="AA20">
            <v>7</v>
          </cell>
          <cell r="AD20" t="str">
            <v>Owner Equity:</v>
          </cell>
          <cell r="AF20" t="e">
            <v>#REF!</v>
          </cell>
          <cell r="AJ20" t="str">
            <v>Eligible Basis /BR</v>
          </cell>
          <cell r="AL20" t="e">
            <v>#DIV/0!</v>
          </cell>
        </row>
        <row r="21">
          <cell r="X21" t="str">
            <v xml:space="preserve">Census Tract Number: </v>
          </cell>
          <cell r="AA21">
            <v>0</v>
          </cell>
          <cell r="AC21" t="str">
            <v xml:space="preserve">      Rehab Hard Cost Per Unit ($20K minimum,</v>
          </cell>
          <cell r="AH21" t="e">
            <v>#DIV/0!</v>
          </cell>
          <cell r="AJ21" t="str">
            <v>Credits/BR</v>
          </cell>
          <cell r="AL21" t="e">
            <v>#DIV/0!</v>
          </cell>
        </row>
        <row r="22">
          <cell r="X22" t="str">
            <v>HIGH Cost Designation/DDA:</v>
          </cell>
          <cell r="AA22" t="str">
            <v>No</v>
          </cell>
          <cell r="AD22" t="str">
            <v>At-Risk = $10K)</v>
          </cell>
          <cell r="AJ22" t="str">
            <v>Credits/LI Unit</v>
          </cell>
          <cell r="AL22" t="e">
            <v>#DIV/0!</v>
          </cell>
        </row>
        <row r="23">
          <cell r="AD23" t="str">
            <v>Name of Investor:</v>
          </cell>
          <cell r="AF23" t="str">
            <v>Multi-Housing Investments, LLC</v>
          </cell>
          <cell r="AH23" t="str">
            <v>Net Equity Amount</v>
          </cell>
          <cell r="AJ23">
            <v>11354378</v>
          </cell>
        </row>
        <row r="24">
          <cell r="X24" t="str">
            <v>Total Project Points Earned</v>
          </cell>
          <cell r="AA24">
            <v>11.5</v>
          </cell>
          <cell r="AD24" t="str">
            <v>Tax Credit Factor</v>
          </cell>
          <cell r="AF24">
            <v>0</v>
          </cell>
          <cell r="AH24" t="str">
            <v>% Paid In At Construction</v>
          </cell>
          <cell r="AJ24">
            <v>0.15040427577803028</v>
          </cell>
        </row>
        <row r="26">
          <cell r="AD26" t="str">
            <v>DEVELOPER'S</v>
          </cell>
          <cell r="AF26" t="str">
            <v>State Credit Exchage Calculation</v>
          </cell>
          <cell r="AJ26" t="str">
            <v xml:space="preserve"> ADJUSTED</v>
          </cell>
        </row>
        <row r="27">
          <cell r="AD27" t="str">
            <v xml:space="preserve">  PROPOSAL</v>
          </cell>
          <cell r="AF27" t="str">
            <v>Maximum State Credit Based on 30% EB</v>
          </cell>
          <cell r="AJ27" t="str">
            <v>CALCULATION</v>
          </cell>
        </row>
        <row r="28">
          <cell r="X28" t="str">
            <v>Total Project Costs:</v>
          </cell>
          <cell r="AD28">
            <v>130000</v>
          </cell>
          <cell r="AH28">
            <v>0</v>
          </cell>
          <cell r="AJ28">
            <v>130000</v>
          </cell>
        </row>
        <row r="29">
          <cell r="AF29" t="str">
            <v>Equity based on 60 Cents on the $</v>
          </cell>
        </row>
        <row r="30">
          <cell r="X30" t="str">
            <v>Units/Acre</v>
          </cell>
          <cell r="AD30">
            <v>0</v>
          </cell>
          <cell r="AH30">
            <v>0</v>
          </cell>
          <cell r="AJ30">
            <v>0</v>
          </cell>
        </row>
        <row r="31">
          <cell r="X31" t="str">
            <v>Sq. Ft. Residential/Common Areas:</v>
          </cell>
          <cell r="AD31">
            <v>0</v>
          </cell>
          <cell r="AF31" t="str">
            <v>Annual Federal Credit Needed in Exchange</v>
          </cell>
          <cell r="AJ31">
            <v>0</v>
          </cell>
        </row>
        <row r="32">
          <cell r="X32" t="str">
            <v>Const. Cost Per Square Foot:</v>
          </cell>
          <cell r="AD32">
            <v>0</v>
          </cell>
          <cell r="AH32" t="e">
            <v>#DIV/0!</v>
          </cell>
          <cell r="AJ32">
            <v>0</v>
          </cell>
        </row>
        <row r="33">
          <cell r="X33" t="str">
            <v>Total Residential Cost Per Unit:</v>
          </cell>
          <cell r="AD33" t="e">
            <v>#DIV/0!</v>
          </cell>
          <cell r="AJ33" t="e">
            <v>#DIV/0!</v>
          </cell>
        </row>
        <row r="34">
          <cell r="X34" t="str">
            <v>Expenses Per Unit:</v>
          </cell>
          <cell r="AD34">
            <v>0</v>
          </cell>
          <cell r="AF34" t="str">
            <v>TCAC Min. Operating Expenses</v>
          </cell>
          <cell r="AI34">
            <v>2800</v>
          </cell>
          <cell r="AJ34">
            <v>0</v>
          </cell>
        </row>
        <row r="35">
          <cell r="X35" t="str">
            <v xml:space="preserve">Maximum Developer/Consultant Fee in Eligible Basis: </v>
          </cell>
          <cell r="AD35">
            <v>0</v>
          </cell>
          <cell r="AJ35">
            <v>0</v>
          </cell>
          <cell r="AK35" t="str">
            <v>- $1.4M Maximum.</v>
          </cell>
        </row>
        <row r="36">
          <cell r="X36" t="str">
            <v>Actual Developer/Consultant Fee in Eligible Basis:</v>
          </cell>
          <cell r="AD36">
            <v>0</v>
          </cell>
          <cell r="AJ36">
            <v>0</v>
          </cell>
        </row>
        <row r="37">
          <cell r="X37" t="str">
            <v>Maximum Developer/Consultant Fee in Project Cost:</v>
          </cell>
          <cell r="AD37">
            <v>0</v>
          </cell>
          <cell r="AF37" t="str">
            <v>Total Service Amenities Budget</v>
          </cell>
          <cell r="AI37">
            <v>14500</v>
          </cell>
          <cell r="AJ37">
            <v>0</v>
          </cell>
          <cell r="AK37" t="str">
            <v>- $2M Maximum.</v>
          </cell>
        </row>
        <row r="38">
          <cell r="X38" t="str">
            <v>Actual Developer/Consultant Fee in Project Cost:</v>
          </cell>
          <cell r="AD38">
            <v>0</v>
          </cell>
          <cell r="AF38" t="str">
            <v>Annual Budget Per Unit</v>
          </cell>
          <cell r="AI38" t="e">
            <v>#DIV/0!</v>
          </cell>
          <cell r="AJ38">
            <v>0</v>
          </cell>
        </row>
        <row r="39">
          <cell r="X39" t="str">
            <v>Total Land Cost:</v>
          </cell>
          <cell r="AD39">
            <v>0</v>
          </cell>
          <cell r="AJ39">
            <v>0</v>
          </cell>
        </row>
        <row r="40">
          <cell r="X40" t="str">
            <v>Total Acquisition Costs:</v>
          </cell>
          <cell r="AD40">
            <v>0</v>
          </cell>
          <cell r="AH40" t="str">
            <v>TCAC fee check</v>
          </cell>
          <cell r="AJ40">
            <v>0</v>
          </cell>
        </row>
        <row r="41">
          <cell r="X41" t="str">
            <v>Total Permanent Financing Costs:</v>
          </cell>
          <cell r="AD41">
            <v>0</v>
          </cell>
          <cell r="AH41" t="str">
            <v>Performance Deposit</v>
          </cell>
          <cell r="AJ41">
            <v>0</v>
          </cell>
        </row>
        <row r="42">
          <cell r="X42" t="str">
            <v>Total Rent Reserves:</v>
          </cell>
          <cell r="AD42">
            <v>0</v>
          </cell>
          <cell r="AH42" t="e">
            <v>#DIV/0!</v>
          </cell>
          <cell r="AJ42">
            <v>0</v>
          </cell>
        </row>
        <row r="43">
          <cell r="X43" t="str">
            <v>Rent Reserves Per Unit:</v>
          </cell>
          <cell r="AD43" t="e">
            <v>#DIV/0!</v>
          </cell>
          <cell r="AJ43" t="e">
            <v>#DIV/0!</v>
          </cell>
        </row>
        <row r="44">
          <cell r="X44" t="str">
            <v>Required Minimum 3-Month Operating Reserves:</v>
          </cell>
          <cell r="AD44">
            <v>0</v>
          </cell>
          <cell r="AJ44">
            <v>0</v>
          </cell>
        </row>
        <row r="45">
          <cell r="X45" t="str">
            <v>Actual 3-Month Operating Reserves:</v>
          </cell>
          <cell r="AD45">
            <v>0</v>
          </cell>
          <cell r="AJ45">
            <v>0</v>
          </cell>
        </row>
        <row r="46">
          <cell r="X46" t="str">
            <v>TCAC Fees:</v>
          </cell>
          <cell r="AD46">
            <v>0</v>
          </cell>
          <cell r="AH46">
            <v>0</v>
          </cell>
          <cell r="AJ46">
            <v>0</v>
          </cell>
        </row>
        <row r="47">
          <cell r="X47" t="str">
            <v>Marketing:</v>
          </cell>
          <cell r="AD47">
            <v>0</v>
          </cell>
          <cell r="AH47" t="str">
            <v>Total Fees</v>
          </cell>
          <cell r="AJ47">
            <v>0</v>
          </cell>
        </row>
        <row r="48">
          <cell r="X48" t="str">
            <v>Ineligible Costs:</v>
          </cell>
          <cell r="AD48">
            <v>0</v>
          </cell>
          <cell r="AH48" t="e">
            <v>#DIV/0!</v>
          </cell>
          <cell r="AJ48">
            <v>0</v>
          </cell>
        </row>
        <row r="49">
          <cell r="X49" t="str">
            <v>Voluntary Basis Reduction:</v>
          </cell>
          <cell r="AD49">
            <v>0</v>
          </cell>
          <cell r="AJ49">
            <v>0</v>
          </cell>
        </row>
        <row r="50">
          <cell r="X50" t="str">
            <v>Credit Reduction Points</v>
          </cell>
          <cell r="AD50">
            <v>0</v>
          </cell>
          <cell r="AH50" t="str">
            <v>Difference</v>
          </cell>
          <cell r="AJ50">
            <v>0</v>
          </cell>
        </row>
        <row r="51">
          <cell r="X51" t="str">
            <v>Commercial Costs:</v>
          </cell>
          <cell r="AD51">
            <v>0</v>
          </cell>
          <cell r="AH51" t="e">
            <v>#DIV/0!</v>
          </cell>
          <cell r="AJ51">
            <v>0</v>
          </cell>
        </row>
        <row r="53">
          <cell r="X53" t="str">
            <v>FEDERAL CREDIT CALCULATION</v>
          </cell>
          <cell r="AC53" t="str">
            <v>DEVELOPER'S PROPOSAL</v>
          </cell>
          <cell r="AH53" t="str">
            <v>ADJUSTED CALCULATION</v>
          </cell>
        </row>
        <row r="54">
          <cell r="AB54" t="str">
            <v>NC/Rehab</v>
          </cell>
          <cell r="AD54" t="str">
            <v>Acquisition</v>
          </cell>
          <cell r="AF54" t="str">
            <v>TOTAL</v>
          </cell>
          <cell r="AH54" t="str">
            <v>NC/Rehab</v>
          </cell>
          <cell r="AJ54" t="str">
            <v>Acquisition</v>
          </cell>
          <cell r="AL54" t="str">
            <v>TOTAL</v>
          </cell>
        </row>
        <row r="55">
          <cell r="X55" t="str">
            <v>ESTIMATED ELIGIBLE BASIS:</v>
          </cell>
          <cell r="AB55">
            <v>0</v>
          </cell>
          <cell r="AD55">
            <v>0</v>
          </cell>
          <cell r="AF55">
            <v>0</v>
          </cell>
          <cell r="AH55">
            <v>0</v>
          </cell>
          <cell r="AJ55">
            <v>0</v>
          </cell>
          <cell r="AL55">
            <v>0</v>
          </cell>
        </row>
        <row r="56">
          <cell r="X56" t="str">
            <v>High Cost Area Adjustment:</v>
          </cell>
          <cell r="AB56">
            <v>1</v>
          </cell>
          <cell r="AD56">
            <v>1</v>
          </cell>
          <cell r="AH56">
            <v>1</v>
          </cell>
          <cell r="AJ56">
            <v>1</v>
          </cell>
        </row>
        <row r="57">
          <cell r="X57" t="str">
            <v>TOTAL ADJUSTED ELIGIBLE BASIS:</v>
          </cell>
          <cell r="AB57">
            <v>0</v>
          </cell>
          <cell r="AD57">
            <v>0</v>
          </cell>
          <cell r="AF57">
            <v>0</v>
          </cell>
          <cell r="AH57">
            <v>0</v>
          </cell>
          <cell r="AJ57">
            <v>0</v>
          </cell>
          <cell r="AL57">
            <v>0</v>
          </cell>
        </row>
        <row r="58">
          <cell r="X58" t="str">
            <v>Applicable Fraction:</v>
          </cell>
          <cell r="AB58">
            <v>0</v>
          </cell>
          <cell r="AD58">
            <v>0</v>
          </cell>
          <cell r="AH58">
            <v>0</v>
          </cell>
          <cell r="AJ58">
            <v>0</v>
          </cell>
        </row>
        <row r="59">
          <cell r="X59" t="str">
            <v>TOTAL QUALIFIED BASIS:</v>
          </cell>
          <cell r="AB59">
            <v>0</v>
          </cell>
          <cell r="AD59">
            <v>0</v>
          </cell>
          <cell r="AF59">
            <v>0</v>
          </cell>
          <cell r="AH59">
            <v>0</v>
          </cell>
          <cell r="AJ59">
            <v>0</v>
          </cell>
          <cell r="AL59">
            <v>0</v>
          </cell>
        </row>
        <row r="60">
          <cell r="X60" t="str">
            <v>Credit Reduction:</v>
          </cell>
          <cell r="AB60" t="e">
            <v>#DIV/0!</v>
          </cell>
          <cell r="AD60" t="e">
            <v>#DIV/0!</v>
          </cell>
          <cell r="AF60">
            <v>0</v>
          </cell>
          <cell r="AH60" t="e">
            <v>#DIV/0!</v>
          </cell>
          <cell r="AJ60" t="e">
            <v>#DIV/0!</v>
          </cell>
          <cell r="AL60">
            <v>0</v>
          </cell>
        </row>
        <row r="61">
          <cell r="X61" t="str">
            <v>TOTAL ADJUSTED QUALIFED BASIS:</v>
          </cell>
          <cell r="AB61" t="e">
            <v>#DIV/0!</v>
          </cell>
          <cell r="AD61" t="e">
            <v>#DIV/0!</v>
          </cell>
          <cell r="AF61" t="e">
            <v>#DIV/0!</v>
          </cell>
          <cell r="AH61" t="e">
            <v>#DIV/0!</v>
          </cell>
          <cell r="AJ61" t="e">
            <v>#DIV/0!</v>
          </cell>
          <cell r="AL61" t="e">
            <v>#DIV/0!</v>
          </cell>
        </row>
        <row r="62">
          <cell r="X62" t="str">
            <v>Applicable %:</v>
          </cell>
          <cell r="AB62">
            <v>8.3000000000000004E-2</v>
          </cell>
          <cell r="AD62">
            <v>3.5999999999999997E-2</v>
          </cell>
          <cell r="AH62">
            <v>8.3000000000000004E-2</v>
          </cell>
          <cell r="AJ62">
            <v>3.5999999999999997E-2</v>
          </cell>
        </row>
        <row r="63">
          <cell r="X63" t="str">
            <v>Maximum Federal Credit:</v>
          </cell>
          <cell r="AB63" t="e">
            <v>#DIV/0!</v>
          </cell>
          <cell r="AD63">
            <v>0</v>
          </cell>
          <cell r="AF63" t="e">
            <v>#DIV/0!</v>
          </cell>
          <cell r="AH63" t="e">
            <v>#DIV/0!</v>
          </cell>
          <cell r="AJ63" t="e">
            <v>#DIV/0!</v>
          </cell>
          <cell r="AL63" t="e">
            <v>#DIV/0!</v>
          </cell>
        </row>
        <row r="64">
          <cell r="X64" t="str">
            <v>STATE CREDIT CALCULATION</v>
          </cell>
          <cell r="AC64" t="str">
            <v>DEVELOPER'S PROPOSAL</v>
          </cell>
          <cell r="AH64" t="str">
            <v>ADJUSTED CALCULATION</v>
          </cell>
        </row>
        <row r="65">
          <cell r="AB65" t="str">
            <v>30% RATE</v>
          </cell>
          <cell r="AD65" t="str">
            <v>13% RATE</v>
          </cell>
          <cell r="AF65" t="str">
            <v>TOTAL</v>
          </cell>
          <cell r="AH65" t="str">
            <v>30% RATE</v>
          </cell>
          <cell r="AJ65" t="str">
            <v>13% RATE</v>
          </cell>
          <cell r="AL65" t="str">
            <v>TOTAL</v>
          </cell>
        </row>
        <row r="66">
          <cell r="X66" t="str">
            <v>ESTIMATED ELIGIBLE BASIS:</v>
          </cell>
          <cell r="AB66">
            <v>0</v>
          </cell>
          <cell r="AD66" t="e">
            <v>#DIV/0!</v>
          </cell>
          <cell r="AH66">
            <v>0</v>
          </cell>
          <cell r="AJ66" t="e">
            <v>#DIV/0!</v>
          </cell>
        </row>
        <row r="67">
          <cell r="X67" t="str">
            <v>Applicable High Cost Area Adj:</v>
          </cell>
          <cell r="AB67">
            <v>1</v>
          </cell>
          <cell r="AD67">
            <v>1</v>
          </cell>
          <cell r="AH67">
            <v>1</v>
          </cell>
          <cell r="AJ67">
            <v>1</v>
          </cell>
        </row>
        <row r="68">
          <cell r="X68" t="str">
            <v>ADJUSTED ELIGIBLE BASIS:</v>
          </cell>
          <cell r="AB68">
            <v>0</v>
          </cell>
          <cell r="AD68" t="e">
            <v>#DIV/0!</v>
          </cell>
          <cell r="AH68">
            <v>0</v>
          </cell>
          <cell r="AJ68" t="e">
            <v>#DIV/0!</v>
          </cell>
        </row>
        <row r="69">
          <cell r="X69" t="str">
            <v>Applicable Fraction:</v>
          </cell>
          <cell r="AB69">
            <v>0</v>
          </cell>
          <cell r="AD69">
            <v>0</v>
          </cell>
          <cell r="AH69">
            <v>0</v>
          </cell>
          <cell r="AJ69">
            <v>0</v>
          </cell>
        </row>
        <row r="70">
          <cell r="X70" t="str">
            <v>TOTAL QUALIFIED BASIS:</v>
          </cell>
          <cell r="AB70">
            <v>0</v>
          </cell>
          <cell r="AD70" t="e">
            <v>#DIV/0!</v>
          </cell>
          <cell r="AH70">
            <v>0</v>
          </cell>
          <cell r="AJ70" t="e">
            <v>#DIV/0!</v>
          </cell>
        </row>
        <row r="71">
          <cell r="X71" t="str">
            <v>Applicable %:</v>
          </cell>
          <cell r="AB71">
            <v>0.3</v>
          </cell>
          <cell r="AD71">
            <v>0.13</v>
          </cell>
          <cell r="AH71">
            <v>0.3</v>
          </cell>
          <cell r="AJ71">
            <v>0.13</v>
          </cell>
        </row>
        <row r="72">
          <cell r="X72" t="str">
            <v>Maximum State Credit:</v>
          </cell>
          <cell r="AB72">
            <v>0</v>
          </cell>
          <cell r="AD72" t="e">
            <v>#DIV/0!</v>
          </cell>
          <cell r="AF72" t="e">
            <v>#DIV/0!</v>
          </cell>
          <cell r="AH72">
            <v>0</v>
          </cell>
          <cell r="AJ72" t="e">
            <v>#DIV/0!</v>
          </cell>
          <cell r="AL72" t="e">
            <v>#DIV/0!</v>
          </cell>
        </row>
        <row r="74">
          <cell r="X74" t="str">
            <v>Annual Credit Years 1 thru 3:</v>
          </cell>
          <cell r="AB74">
            <v>0</v>
          </cell>
          <cell r="AD74" t="e">
            <v>#DIV/0!</v>
          </cell>
          <cell r="AH74">
            <v>0</v>
          </cell>
          <cell r="AJ74" t="e">
            <v>#DIV/0!</v>
          </cell>
        </row>
        <row r="75">
          <cell r="X75" t="str">
            <v>State Tax Credit Year 4:</v>
          </cell>
          <cell r="AB75">
            <v>0</v>
          </cell>
          <cell r="AD75" t="e">
            <v>#DIV/0!</v>
          </cell>
          <cell r="AH75">
            <v>0</v>
          </cell>
          <cell r="AJ75" t="e">
            <v>#DIV/0!</v>
          </cell>
        </row>
        <row r="80">
          <cell r="AC80" t="str">
            <v xml:space="preserve">     TAX CREDIT ALLOCATION COMMITTEE</v>
          </cell>
        </row>
        <row r="81">
          <cell r="AC81" t="str">
            <v xml:space="preserve">  PROJECT EVALUATION WORKSHEET, CONT'D.</v>
          </cell>
        </row>
        <row r="82">
          <cell r="X82" t="str">
            <v>PROJECT NUMBER:</v>
          </cell>
          <cell r="Z82" t="e">
            <v>#VALUE!</v>
          </cell>
        </row>
        <row r="86">
          <cell r="X86" t="str">
            <v>SHORTFALL CALCULATION</v>
          </cell>
          <cell r="AC86" t="str">
            <v>DEVELOPER'S PROPOSAL</v>
          </cell>
          <cell r="AI86" t="str">
            <v>ADJUSTED CALCULATION</v>
          </cell>
        </row>
        <row r="88">
          <cell r="AL88" t="str">
            <v>RECOMMENDED</v>
          </cell>
        </row>
        <row r="89">
          <cell r="AL89" t="str">
            <v>CREDIT AMT.</v>
          </cell>
        </row>
        <row r="90">
          <cell r="X90" t="str">
            <v>Total Project Costs</v>
          </cell>
          <cell r="AB90">
            <v>130000</v>
          </cell>
          <cell r="AH90">
            <v>130000</v>
          </cell>
        </row>
        <row r="91">
          <cell r="X91" t="str">
            <v>Permanent Financing</v>
          </cell>
          <cell r="AB91">
            <v>0</v>
          </cell>
          <cell r="AH91">
            <v>0</v>
          </cell>
        </row>
        <row r="92">
          <cell r="X92" t="str">
            <v>Shortfall</v>
          </cell>
          <cell r="AB92">
            <v>130000</v>
          </cell>
          <cell r="AH92">
            <v>130000</v>
          </cell>
        </row>
        <row r="96">
          <cell r="X96" t="str">
            <v>FEDERAL CREDIT</v>
          </cell>
        </row>
        <row r="97">
          <cell r="AB97" t="str">
            <v>NC/Rehab</v>
          </cell>
          <cell r="AD97" t="str">
            <v>Acquisition</v>
          </cell>
          <cell r="AH97" t="str">
            <v>NC/Rehab</v>
          </cell>
          <cell r="AJ97" t="str">
            <v>Acquisition</v>
          </cell>
        </row>
        <row r="98">
          <cell r="X98" t="str">
            <v>Qualified Basis</v>
          </cell>
          <cell r="AB98" t="e">
            <v>#DIV/0!</v>
          </cell>
          <cell r="AD98" t="e">
            <v>#DIV/0!</v>
          </cell>
          <cell r="AH98" t="e">
            <v>#DIV/0!</v>
          </cell>
          <cell r="AJ98" t="e">
            <v>#DIV/0!</v>
          </cell>
        </row>
        <row r="99">
          <cell r="X99" t="str">
            <v>Applicable %</v>
          </cell>
          <cell r="AB99">
            <v>8.3000000000000004E-2</v>
          </cell>
          <cell r="AD99">
            <v>3.5999999999999997E-2</v>
          </cell>
          <cell r="AH99">
            <v>8.3000000000000004E-2</v>
          </cell>
          <cell r="AJ99">
            <v>3.5999999999999997E-2</v>
          </cell>
        </row>
        <row r="100">
          <cell r="X100" t="str">
            <v>Federal Credit</v>
          </cell>
          <cell r="AB100" t="e">
            <v>#DIV/0!</v>
          </cell>
          <cell r="AD100" t="e">
            <v>#DIV/0!</v>
          </cell>
          <cell r="AH100">
            <v>887317</v>
          </cell>
          <cell r="AJ100" t="e">
            <v>#DIV/0!</v>
          </cell>
        </row>
        <row r="101">
          <cell r="X101" t="str">
            <v>Plus Amount for 4%</v>
          </cell>
          <cell r="AB101" t="e">
            <v>#DIV/0!</v>
          </cell>
          <cell r="AH101" t="e">
            <v>#DIV/0!</v>
          </cell>
        </row>
        <row r="103">
          <cell r="X103" t="str">
            <v>Total Annual Federal Credit</v>
          </cell>
          <cell r="AB103" t="e">
            <v>#DIV/0!</v>
          </cell>
          <cell r="AH103" t="e">
            <v>#DIV/0!</v>
          </cell>
          <cell r="AL103" t="e">
            <v>#DIV/0!</v>
          </cell>
        </row>
        <row r="105">
          <cell r="X105" t="str">
            <v>Maximum Credit - 10 Years</v>
          </cell>
          <cell r="AB105" t="e">
            <v>#DIV/0!</v>
          </cell>
          <cell r="AH105" t="e">
            <v>#DIV/0!</v>
          </cell>
        </row>
        <row r="106">
          <cell r="X106" t="str">
            <v>Tax Credit Factor</v>
          </cell>
          <cell r="AB106">
            <v>0</v>
          </cell>
          <cell r="AH106">
            <v>0</v>
          </cell>
          <cell r="AI106" t="str">
            <v>$0.94 * 99.99%</v>
          </cell>
        </row>
        <row r="107">
          <cell r="X107" t="str">
            <v>Net Proceeds Raised</v>
          </cell>
          <cell r="AB107" t="e">
            <v>#DIV/0!</v>
          </cell>
          <cell r="AH107" t="e">
            <v>#DIV/0!</v>
          </cell>
          <cell r="AJ107">
            <v>0</v>
          </cell>
        </row>
        <row r="108">
          <cell r="X108" t="str">
            <v>Amount of Shortfall</v>
          </cell>
          <cell r="AB108">
            <v>130000</v>
          </cell>
          <cell r="AH108">
            <v>130000</v>
          </cell>
        </row>
        <row r="109">
          <cell r="X109" t="str">
            <v>Difference</v>
          </cell>
          <cell r="AB109" t="e">
            <v>#DIV/0!</v>
          </cell>
          <cell r="AH109" t="e">
            <v>#DIV/0!</v>
          </cell>
        </row>
        <row r="110">
          <cell r="AD110" t="str">
            <v>Net Equity</v>
          </cell>
        </row>
        <row r="111">
          <cell r="AD111">
            <v>11354378</v>
          </cell>
        </row>
        <row r="114">
          <cell r="X114" t="str">
            <v>STATE CREDIT</v>
          </cell>
        </row>
        <row r="115">
          <cell r="AB115" t="str">
            <v>30% RATE</v>
          </cell>
          <cell r="AD115" t="str">
            <v>13% RATE</v>
          </cell>
          <cell r="AH115" t="str">
            <v>30% RATE</v>
          </cell>
          <cell r="AJ115" t="str">
            <v>13% RATE</v>
          </cell>
        </row>
        <row r="116">
          <cell r="X116" t="str">
            <v>Qualified Basis</v>
          </cell>
          <cell r="AB116">
            <v>0</v>
          </cell>
          <cell r="AD116" t="e">
            <v>#DIV/0!</v>
          </cell>
          <cell r="AH116">
            <v>0</v>
          </cell>
          <cell r="AJ116" t="e">
            <v>#DIV/0!</v>
          </cell>
        </row>
        <row r="117">
          <cell r="X117" t="str">
            <v>Applicable %</v>
          </cell>
          <cell r="AB117">
            <v>0</v>
          </cell>
          <cell r="AD117" t="e">
            <v>#DIV/0!</v>
          </cell>
          <cell r="AH117">
            <v>0</v>
          </cell>
          <cell r="AJ117" t="e">
            <v>#DIV/0!</v>
          </cell>
        </row>
        <row r="118">
          <cell r="X118" t="str">
            <v>State Credit</v>
          </cell>
          <cell r="AB118">
            <v>0</v>
          </cell>
          <cell r="AD118" t="e">
            <v>#DIV/0!</v>
          </cell>
          <cell r="AH118">
            <v>0</v>
          </cell>
          <cell r="AJ118" t="e">
            <v>#DIV/0!</v>
          </cell>
        </row>
        <row r="120">
          <cell r="X120" t="str">
            <v>Plus Amount for 13%</v>
          </cell>
          <cell r="AB120" t="e">
            <v>#DIV/0!</v>
          </cell>
          <cell r="AH120" t="e">
            <v>#DIV/0!</v>
          </cell>
        </row>
        <row r="122">
          <cell r="X122" t="str">
            <v>Total State Credit Over 4 Yrs.</v>
          </cell>
          <cell r="AB122" t="e">
            <v>#DIV/0!</v>
          </cell>
          <cell r="AH122" t="e">
            <v>#DIV/0!</v>
          </cell>
          <cell r="AL122" t="e">
            <v>#DIV/0!</v>
          </cell>
        </row>
        <row r="123">
          <cell r="X123" t="str">
            <v>Tax Credit Factor</v>
          </cell>
          <cell r="AB123" t="e">
            <v>#DIV/0!</v>
          </cell>
          <cell r="AH123" t="e">
            <v>#DIV/0!</v>
          </cell>
        </row>
        <row r="125">
          <cell r="X125" t="str">
            <v>Net Proceeds Raised</v>
          </cell>
          <cell r="AB125" t="e">
            <v>#DIV/0!</v>
          </cell>
          <cell r="AH125" t="e">
            <v>#DIV/0!</v>
          </cell>
        </row>
        <row r="126">
          <cell r="X126" t="str">
            <v>Shortfall from Fedl Credits</v>
          </cell>
          <cell r="AB126" t="e">
            <v>#DIV/0!</v>
          </cell>
          <cell r="AH126" t="e">
            <v>#DIV/0!</v>
          </cell>
        </row>
        <row r="127">
          <cell r="X127" t="str">
            <v>Remaining shortfall after</v>
          </cell>
        </row>
        <row r="128">
          <cell r="X128" t="str">
            <v xml:space="preserve">  applying state credits</v>
          </cell>
          <cell r="AB128" t="e">
            <v>#DIV/0!</v>
          </cell>
          <cell r="AH128" t="e">
            <v>#DIV/0!</v>
          </cell>
        </row>
        <row r="131">
          <cell r="X131" t="str">
            <v>Federal Credit Adjustment:</v>
          </cell>
          <cell r="AB131" t="str">
            <v>Shortfall/TCF</v>
          </cell>
          <cell r="AD131" t="e">
            <v>#DIV/0!</v>
          </cell>
          <cell r="AF131" t="str">
            <v>Revised Maximum Federal Credit Amount</v>
          </cell>
        </row>
        <row r="132">
          <cell r="AB132" t="str">
            <v>Max Cred/10 Yrs</v>
          </cell>
          <cell r="AD132" t="e">
            <v>#DIV/0!</v>
          </cell>
          <cell r="AF132" t="str">
            <v>Revised Annual Federal Credit Amount</v>
          </cell>
        </row>
        <row r="133">
          <cell r="X133" t="str">
            <v>State Credit Adjustment:</v>
          </cell>
          <cell r="AB133" t="str">
            <v>Shortfall/TCF</v>
          </cell>
          <cell r="AD133" t="e">
            <v>#DIV/0!</v>
          </cell>
          <cell r="AF133" t="str">
            <v>Revised Maximum State Credits</v>
          </cell>
        </row>
        <row r="135">
          <cell r="AF135" t="str">
            <v>Number / Unit Type</v>
          </cell>
        </row>
        <row r="136">
          <cell r="X136" t="str">
            <v>Investor:</v>
          </cell>
          <cell r="AB136" t="str">
            <v>Multi-Housing Investments, LLC</v>
          </cell>
          <cell r="AE136">
            <v>0</v>
          </cell>
          <cell r="AF136" t="str">
            <v>Studio Units</v>
          </cell>
          <cell r="AJ136" t="str">
            <v>Total Units</v>
          </cell>
        </row>
        <row r="137">
          <cell r="X137" t="str">
            <v>Net Tax Credit Factor:</v>
          </cell>
          <cell r="AB137">
            <v>0</v>
          </cell>
          <cell r="AE137">
            <v>0</v>
          </cell>
          <cell r="AF137" t="str">
            <v>One Bedroom Units</v>
          </cell>
          <cell r="AJ137">
            <v>0</v>
          </cell>
        </row>
        <row r="138">
          <cell r="AE138">
            <v>0</v>
          </cell>
          <cell r="AF138" t="str">
            <v>Two Bedroom Units</v>
          </cell>
        </row>
        <row r="139">
          <cell r="AE139">
            <v>0</v>
          </cell>
          <cell r="AF139" t="str">
            <v>Three Bedroom Units</v>
          </cell>
        </row>
        <row r="140">
          <cell r="AE140">
            <v>0</v>
          </cell>
          <cell r="AF140" t="str">
            <v>Four Bedroom Units</v>
          </cell>
        </row>
        <row r="142">
          <cell r="X142" t="str">
            <v>% of targeted tax credit units at 30%</v>
          </cell>
          <cell r="AB142" t="e">
            <v>#DIV/0!</v>
          </cell>
          <cell r="AE142" t="str">
            <v>% of targeted tax credit units at 45%</v>
          </cell>
          <cell r="AI142" t="e">
            <v>#DIV/0!</v>
          </cell>
        </row>
        <row r="143">
          <cell r="X143" t="str">
            <v>% of targeted tax credit units at 35%</v>
          </cell>
          <cell r="AB143" t="e">
            <v>#DIV/0!</v>
          </cell>
          <cell r="AE143" t="str">
            <v>% of targeted tax credit units at 50%</v>
          </cell>
          <cell r="AI143" t="e">
            <v>#DIV/0!</v>
          </cell>
        </row>
        <row r="144">
          <cell r="X144" t="str">
            <v>% of targeted tax credit units at 40%</v>
          </cell>
          <cell r="AB144" t="e">
            <v>#DIV/0!</v>
          </cell>
          <cell r="AE144" t="str">
            <v>% of targeted tax credit units at 55%</v>
          </cell>
          <cell r="AI144" t="e">
            <v>#DIV/0!</v>
          </cell>
        </row>
        <row r="145">
          <cell r="AE145" t="str">
            <v>% of targeted tax credit units at 60%</v>
          </cell>
          <cell r="AI145" t="e">
            <v>#DIV/0!</v>
          </cell>
        </row>
        <row r="152">
          <cell r="D152" t="str">
            <v xml:space="preserve"> CALIFORNIA TAX CREDIT ALLOCATION COMMITTEE</v>
          </cell>
        </row>
        <row r="153">
          <cell r="D153" t="str">
            <v xml:space="preserve">                   LOW-INCOME HOUSING TAX CREDIT</v>
          </cell>
        </row>
        <row r="154">
          <cell r="E154" t="str">
            <v xml:space="preserve">   Project Evaluation Worksheet</v>
          </cell>
        </row>
        <row r="156">
          <cell r="A156" t="str">
            <v>PROJECT PROFILE</v>
          </cell>
        </row>
        <row r="158">
          <cell r="A158" t="str">
            <v xml:space="preserve"> </v>
          </cell>
          <cell r="B158" t="str">
            <v>Project Name</v>
          </cell>
          <cell r="E158">
            <v>0</v>
          </cell>
        </row>
        <row r="159">
          <cell r="B159" t="str">
            <v>County Location</v>
          </cell>
          <cell r="E159" t="str">
            <v>(select one)</v>
          </cell>
          <cell r="H159" t="str">
            <v>Project Number</v>
          </cell>
          <cell r="J159" t="e">
            <v>#VALUE!</v>
          </cell>
        </row>
        <row r="161">
          <cell r="A161" t="str">
            <v>USES OF FUNDS</v>
          </cell>
        </row>
        <row r="162">
          <cell r="F162" t="str">
            <v>Actual</v>
          </cell>
          <cell r="I162" t="str">
            <v>Percentages</v>
          </cell>
        </row>
        <row r="163">
          <cell r="F163" t="str">
            <v>Cost</v>
          </cell>
          <cell r="H163">
            <v>0</v>
          </cell>
          <cell r="J163" t="str">
            <v>Land as % of TPC</v>
          </cell>
        </row>
        <row r="164">
          <cell r="C164" t="str">
            <v>Land</v>
          </cell>
          <cell r="F164">
            <v>0</v>
          </cell>
          <cell r="G164" t="str">
            <v>Total</v>
          </cell>
          <cell r="H164">
            <v>0</v>
          </cell>
          <cell r="J164" t="str">
            <v>Acquistion as % of TPC</v>
          </cell>
        </row>
        <row r="165">
          <cell r="A165" t="str">
            <v xml:space="preserve"> </v>
          </cell>
          <cell r="C165" t="str">
            <v>Acquisition Cost</v>
          </cell>
          <cell r="F165">
            <v>0</v>
          </cell>
          <cell r="G165" t="str">
            <v>Rehabilitation</v>
          </cell>
          <cell r="J165" t="str">
            <v>Rehabilitation</v>
          </cell>
        </row>
        <row r="166">
          <cell r="A166" t="str">
            <v xml:space="preserve"> </v>
          </cell>
          <cell r="C166" t="str">
            <v>Tot New Construction</v>
          </cell>
          <cell r="F166">
            <v>0</v>
          </cell>
          <cell r="G166">
            <v>0</v>
          </cell>
          <cell r="H166">
            <v>0</v>
          </cell>
          <cell r="J166" t="str">
            <v xml:space="preserve">% of Contractor Overhead ( 2% max.) </v>
          </cell>
        </row>
        <row r="167">
          <cell r="C167" t="str">
            <v xml:space="preserve">  Contractor Overhead</v>
          </cell>
          <cell r="F167">
            <v>0</v>
          </cell>
          <cell r="H167">
            <v>0</v>
          </cell>
          <cell r="J167" t="str">
            <v xml:space="preserve">% of Contractor Profit ( 6% max.) </v>
          </cell>
        </row>
        <row r="168">
          <cell r="C168" t="str">
            <v xml:space="preserve">  Contractor Profit</v>
          </cell>
          <cell r="F168">
            <v>0</v>
          </cell>
          <cell r="H168">
            <v>0</v>
          </cell>
          <cell r="J168" t="str">
            <v xml:space="preserve">% of General Requirements ( 6% max.)  </v>
          </cell>
        </row>
        <row r="169">
          <cell r="C169" t="str">
            <v xml:space="preserve">  General Requirements</v>
          </cell>
          <cell r="F169">
            <v>0</v>
          </cell>
          <cell r="H169">
            <v>0</v>
          </cell>
          <cell r="J169" t="str">
            <v>Overhead + Profit + Gen Req (14% max)</v>
          </cell>
        </row>
        <row r="170">
          <cell r="A170" t="str">
            <v xml:space="preserve"> </v>
          </cell>
          <cell r="C170" t="str">
            <v>Rehab Cost</v>
          </cell>
          <cell r="F170">
            <v>0</v>
          </cell>
          <cell r="G170" t="str">
            <v>Total</v>
          </cell>
          <cell r="J170" t="str">
            <v>New Construction</v>
          </cell>
        </row>
        <row r="171">
          <cell r="A171" t="str">
            <v xml:space="preserve"> </v>
          </cell>
          <cell r="C171" t="str">
            <v>Architectural Fees</v>
          </cell>
          <cell r="F171">
            <v>0</v>
          </cell>
          <cell r="G171" t="str">
            <v>New Construction</v>
          </cell>
          <cell r="H171">
            <v>0</v>
          </cell>
          <cell r="J171" t="str">
            <v xml:space="preserve">% of Contractor Overhead ( 2% max.) </v>
          </cell>
        </row>
        <row r="172">
          <cell r="A172" t="str">
            <v xml:space="preserve"> </v>
          </cell>
          <cell r="C172" t="str">
            <v>Survey &amp; Engineering</v>
          </cell>
          <cell r="F172">
            <v>0</v>
          </cell>
          <cell r="G172">
            <v>0</v>
          </cell>
          <cell r="H172">
            <v>0</v>
          </cell>
          <cell r="J172" t="str">
            <v xml:space="preserve">% of Contractor Profit ( 6% maximum) </v>
          </cell>
        </row>
        <row r="173">
          <cell r="A173" t="str">
            <v xml:space="preserve"> </v>
          </cell>
          <cell r="C173" t="str">
            <v>Tot Perm Financing Costs</v>
          </cell>
          <cell r="F173">
            <v>0</v>
          </cell>
          <cell r="H173">
            <v>0</v>
          </cell>
          <cell r="J173" t="str">
            <v xml:space="preserve">% of General Requirements ( 6% max.)  </v>
          </cell>
        </row>
        <row r="174">
          <cell r="C174" t="str">
            <v xml:space="preserve">  Origination Fee</v>
          </cell>
          <cell r="F174">
            <v>0</v>
          </cell>
          <cell r="H174">
            <v>0</v>
          </cell>
          <cell r="J174" t="str">
            <v>Overhead + Profit + Gen Req (14% max)</v>
          </cell>
        </row>
        <row r="175">
          <cell r="A175" t="str">
            <v xml:space="preserve"> </v>
          </cell>
          <cell r="C175" t="str">
            <v>Tot Const. Interest &amp; Fees</v>
          </cell>
          <cell r="F175">
            <v>0</v>
          </cell>
        </row>
        <row r="176">
          <cell r="C176" t="str">
            <v xml:space="preserve">  Origination Fee</v>
          </cell>
          <cell r="F176">
            <v>0</v>
          </cell>
          <cell r="H176" t="e">
            <v>#DIV/0!</v>
          </cell>
          <cell r="J176" t="str">
            <v>% of const cost - architect</v>
          </cell>
        </row>
        <row r="177">
          <cell r="C177" t="str">
            <v xml:space="preserve">  Interest</v>
          </cell>
          <cell r="F177">
            <v>0</v>
          </cell>
          <cell r="H177">
            <v>0</v>
          </cell>
          <cell r="J177" t="str">
            <v>fee as % of perm loan amt</v>
          </cell>
        </row>
        <row r="178">
          <cell r="C178" t="str">
            <v>Attorney Fees</v>
          </cell>
          <cell r="F178">
            <v>130000</v>
          </cell>
          <cell r="H178" t="e">
            <v>#DIV/0!</v>
          </cell>
          <cell r="J178" t="str">
            <v>fee as % of const loan amt</v>
          </cell>
        </row>
        <row r="179">
          <cell r="C179" t="str">
            <v>Appraisal</v>
          </cell>
          <cell r="F179">
            <v>0</v>
          </cell>
        </row>
        <row r="180">
          <cell r="C180" t="str">
            <v>Rent Reserves</v>
          </cell>
          <cell r="F180">
            <v>0</v>
          </cell>
          <cell r="H180">
            <v>0</v>
          </cell>
          <cell r="J180" t="str">
            <v>Rent reserve as # of months of income</v>
          </cell>
        </row>
        <row r="181">
          <cell r="C181" t="str">
            <v>Contingency</v>
          </cell>
          <cell r="F181">
            <v>0</v>
          </cell>
          <cell r="H181" t="e">
            <v>#DIV/0!</v>
          </cell>
          <cell r="J181" t="str">
            <v>% of const cost - contingency</v>
          </cell>
        </row>
        <row r="182">
          <cell r="C182" t="str">
            <v>Total Other</v>
          </cell>
          <cell r="F182">
            <v>0</v>
          </cell>
          <cell r="H182">
            <v>11354378</v>
          </cell>
          <cell r="J182" t="str">
            <v>Gross Syndication Proceed</v>
          </cell>
        </row>
        <row r="183">
          <cell r="C183" t="str">
            <v>Total Developer Fee</v>
          </cell>
          <cell r="F183">
            <v>0</v>
          </cell>
          <cell r="H183">
            <v>11354378</v>
          </cell>
          <cell r="J183" t="str">
            <v>Net Syndication Proceed</v>
          </cell>
        </row>
        <row r="184">
          <cell r="C184" t="str">
            <v xml:space="preserve">  Acq Developer Fee</v>
          </cell>
          <cell r="F184">
            <v>0</v>
          </cell>
          <cell r="H184">
            <v>0</v>
          </cell>
          <cell r="J184" t="str">
            <v>Syndication Load</v>
          </cell>
        </row>
        <row r="185">
          <cell r="C185" t="str">
            <v xml:space="preserve">  New Const/Rehab Developer Fee</v>
          </cell>
          <cell r="F185">
            <v>0</v>
          </cell>
          <cell r="H185">
            <v>87.341369230769232</v>
          </cell>
          <cell r="J185" t="str">
            <v>% of Net Syn. Proceeds to Project Cost</v>
          </cell>
        </row>
        <row r="186">
          <cell r="G186">
            <v>0</v>
          </cell>
          <cell r="H186" t="str">
            <v>Total Cost Changes</v>
          </cell>
        </row>
        <row r="187">
          <cell r="C187" t="str">
            <v>Total Residential Cost</v>
          </cell>
          <cell r="F187">
            <v>130000</v>
          </cell>
          <cell r="H187">
            <v>0</v>
          </cell>
          <cell r="J187" t="str">
            <v>Maximum Deferred Fees &amp; Cost</v>
          </cell>
        </row>
        <row r="188">
          <cell r="C188" t="str">
            <v>Total Commercial</v>
          </cell>
          <cell r="F188">
            <v>0</v>
          </cell>
        </row>
        <row r="190">
          <cell r="A190" t="str">
            <v>TOTAL USES OF FUNDS</v>
          </cell>
          <cell r="F190">
            <v>130000</v>
          </cell>
          <cell r="H190">
            <v>2800</v>
          </cell>
          <cell r="J190" t="str">
            <v>TCAC Minimum Operating Expenses</v>
          </cell>
        </row>
        <row r="191">
          <cell r="H191">
            <v>0</v>
          </cell>
          <cell r="J191" t="str">
            <v>Projects Projected Operating Expenses</v>
          </cell>
        </row>
        <row r="192">
          <cell r="H192">
            <v>0</v>
          </cell>
          <cell r="J192" t="str">
            <v>Operating Expenses Less 15%</v>
          </cell>
        </row>
        <row r="193">
          <cell r="A193" t="str">
            <v>SOURCE OF FUNDS</v>
          </cell>
          <cell r="J193">
            <v>0</v>
          </cell>
        </row>
        <row r="194">
          <cell r="A194">
            <v>0</v>
          </cell>
          <cell r="F194">
            <v>0</v>
          </cell>
        </row>
        <row r="195">
          <cell r="A195">
            <v>0</v>
          </cell>
          <cell r="F195">
            <v>0</v>
          </cell>
        </row>
        <row r="196">
          <cell r="A196">
            <v>0</v>
          </cell>
          <cell r="F196">
            <v>0</v>
          </cell>
        </row>
        <row r="197">
          <cell r="A197">
            <v>0</v>
          </cell>
          <cell r="F197">
            <v>0</v>
          </cell>
        </row>
        <row r="198">
          <cell r="A198">
            <v>0</v>
          </cell>
          <cell r="F198">
            <v>0</v>
          </cell>
        </row>
        <row r="199">
          <cell r="A199">
            <v>0</v>
          </cell>
          <cell r="F199">
            <v>0</v>
          </cell>
        </row>
        <row r="201">
          <cell r="A201" t="str">
            <v>TOTAL MORTGAGES</v>
          </cell>
          <cell r="G201">
            <v>0</v>
          </cell>
        </row>
        <row r="204">
          <cell r="A204" t="str">
            <v>ANNUAL RESIDENTIAL DEBT SERVICE</v>
          </cell>
          <cell r="H204" t="str">
            <v>PAYMENT CALCULATION CHECK</v>
          </cell>
        </row>
        <row r="205">
          <cell r="H205" t="str">
            <v>Annual pmt</v>
          </cell>
          <cell r="J205" t="str">
            <v>rate</v>
          </cell>
          <cell r="K205" t="str">
            <v>term (yrs)</v>
          </cell>
        </row>
        <row r="206">
          <cell r="A206">
            <v>0</v>
          </cell>
          <cell r="F206">
            <v>0</v>
          </cell>
          <cell r="H206" t="str">
            <v>$0</v>
          </cell>
          <cell r="J206">
            <v>0</v>
          </cell>
          <cell r="K206">
            <v>0</v>
          </cell>
        </row>
        <row r="207">
          <cell r="A207">
            <v>0</v>
          </cell>
          <cell r="F207">
            <v>0</v>
          </cell>
          <cell r="H207" t="str">
            <v>$0</v>
          </cell>
          <cell r="J207">
            <v>0</v>
          </cell>
          <cell r="K207">
            <v>0</v>
          </cell>
        </row>
        <row r="208">
          <cell r="A208">
            <v>0</v>
          </cell>
          <cell r="F208">
            <v>0</v>
          </cell>
          <cell r="H208" t="str">
            <v>$0</v>
          </cell>
          <cell r="J208">
            <v>0</v>
          </cell>
          <cell r="K208">
            <v>0</v>
          </cell>
        </row>
        <row r="209">
          <cell r="A209">
            <v>0</v>
          </cell>
          <cell r="F209">
            <v>0</v>
          </cell>
          <cell r="H209" t="str">
            <v>$0</v>
          </cell>
          <cell r="J209">
            <v>0</v>
          </cell>
          <cell r="K209">
            <v>0</v>
          </cell>
        </row>
        <row r="210">
          <cell r="A210">
            <v>0</v>
          </cell>
          <cell r="F210">
            <v>0</v>
          </cell>
          <cell r="H210" t="str">
            <v>$0</v>
          </cell>
          <cell r="J210">
            <v>0</v>
          </cell>
          <cell r="K210">
            <v>0</v>
          </cell>
        </row>
        <row r="211">
          <cell r="A211">
            <v>0</v>
          </cell>
          <cell r="F211">
            <v>0</v>
          </cell>
          <cell r="H211" t="str">
            <v>$0</v>
          </cell>
          <cell r="J211">
            <v>0</v>
          </cell>
          <cell r="K211">
            <v>0</v>
          </cell>
        </row>
        <row r="213">
          <cell r="A213" t="str">
            <v>TOTAL ANNUAL RESIDENTIAL DEBT SERVICE</v>
          </cell>
          <cell r="G213">
            <v>0</v>
          </cell>
        </row>
        <row r="215">
          <cell r="A215" t="str">
            <v>TOTAL ANNUAL COMMERCIAL DEBT SERVICE</v>
          </cell>
          <cell r="G215">
            <v>0</v>
          </cell>
        </row>
        <row r="217">
          <cell r="A217" t="str">
            <v>GRANTS</v>
          </cell>
        </row>
        <row r="218">
          <cell r="A218" t="str">
            <v>Federal Grants</v>
          </cell>
          <cell r="F218">
            <v>0</v>
          </cell>
        </row>
        <row r="219">
          <cell r="A219" t="str">
            <v>Non-Federal Grants</v>
          </cell>
          <cell r="F219">
            <v>0</v>
          </cell>
        </row>
        <row r="221">
          <cell r="A221" t="str">
            <v>TOTAL GRANTS</v>
          </cell>
          <cell r="G221">
            <v>0</v>
          </cell>
        </row>
        <row r="222">
          <cell r="A222" t="str">
            <v>OWNER OR GENERAL PARTNER EQUITY</v>
          </cell>
          <cell r="G222" t="e">
            <v>#REF!</v>
          </cell>
        </row>
        <row r="225">
          <cell r="A225" t="str">
            <v>PROFORMA CASH FLOW ANALYSIS</v>
          </cell>
          <cell r="G225" t="str">
            <v>Project Number:</v>
          </cell>
          <cell r="I225" t="e">
            <v>#VALUE!</v>
          </cell>
        </row>
        <row r="226">
          <cell r="B226" t="str">
            <v>(assume annual 2.5% increase in income, 3.5% increase in expenses, and 2% increase in property taxes)</v>
          </cell>
        </row>
        <row r="228">
          <cell r="B228" t="str">
            <v>Year</v>
          </cell>
          <cell r="E228">
            <v>1</v>
          </cell>
          <cell r="F228">
            <v>2</v>
          </cell>
          <cell r="G228">
            <v>3</v>
          </cell>
          <cell r="H228">
            <v>4</v>
          </cell>
        </row>
        <row r="229">
          <cell r="B229" t="str">
            <v>Total Tenant Rent</v>
          </cell>
          <cell r="E229">
            <v>0</v>
          </cell>
          <cell r="F229">
            <v>0</v>
          </cell>
          <cell r="G229">
            <v>0</v>
          </cell>
          <cell r="H229">
            <v>0</v>
          </cell>
        </row>
        <row r="230">
          <cell r="B230" t="str">
            <v>Total Rent Subsidy</v>
          </cell>
          <cell r="E230">
            <v>0</v>
          </cell>
          <cell r="F230">
            <v>0</v>
          </cell>
          <cell r="G230">
            <v>0</v>
          </cell>
          <cell r="H230">
            <v>0</v>
          </cell>
        </row>
        <row r="231">
          <cell r="B231" t="str">
            <v>Less Vacancy  rate=</v>
          </cell>
          <cell r="D231">
            <v>0.05</v>
          </cell>
          <cell r="E231">
            <v>0</v>
          </cell>
          <cell r="F231">
            <v>0</v>
          </cell>
          <cell r="G231">
            <v>0</v>
          </cell>
          <cell r="H231">
            <v>0</v>
          </cell>
        </row>
        <row r="232">
          <cell r="B232" t="str">
            <v>Miscellaneous Income</v>
          </cell>
          <cell r="E232">
            <v>0</v>
          </cell>
          <cell r="F232">
            <v>0</v>
          </cell>
          <cell r="G232">
            <v>0</v>
          </cell>
          <cell r="H232">
            <v>0</v>
          </cell>
        </row>
        <row r="233">
          <cell r="C233" t="str">
            <v>TOTAL INCOME</v>
          </cell>
          <cell r="E233">
            <v>0</v>
          </cell>
          <cell r="F233">
            <v>0</v>
          </cell>
          <cell r="G233">
            <v>0</v>
          </cell>
          <cell r="H233">
            <v>0</v>
          </cell>
        </row>
        <row r="234">
          <cell r="C234" t="str">
            <v>Annual Expenses</v>
          </cell>
          <cell r="J234" t="str">
            <v>First Year Estimated per Unit Cost</v>
          </cell>
        </row>
        <row r="235">
          <cell r="C235" t="str">
            <v xml:space="preserve">   Gen. Admin.</v>
          </cell>
          <cell r="E235">
            <v>0</v>
          </cell>
          <cell r="F235">
            <v>0</v>
          </cell>
          <cell r="G235">
            <v>0</v>
          </cell>
          <cell r="H235">
            <v>0</v>
          </cell>
        </row>
        <row r="236">
          <cell r="C236" t="str">
            <v xml:space="preserve">   Management</v>
          </cell>
          <cell r="E236">
            <v>0</v>
          </cell>
          <cell r="F236">
            <v>0</v>
          </cell>
          <cell r="G236">
            <v>0</v>
          </cell>
          <cell r="H236">
            <v>0</v>
          </cell>
          <cell r="J236" t="e">
            <v>#REF!</v>
          </cell>
          <cell r="K236" t="str">
            <v xml:space="preserve">  Management/unit/month</v>
          </cell>
        </row>
        <row r="237">
          <cell r="C237" t="str">
            <v xml:space="preserve">   Utility</v>
          </cell>
          <cell r="E237">
            <v>0</v>
          </cell>
          <cell r="F237">
            <v>0</v>
          </cell>
          <cell r="G237">
            <v>0</v>
          </cell>
          <cell r="H237">
            <v>0</v>
          </cell>
        </row>
        <row r="238">
          <cell r="C238" t="str">
            <v xml:space="preserve">   Water/Sewer</v>
          </cell>
          <cell r="E238" t="e">
            <v>#REF!</v>
          </cell>
          <cell r="F238" t="e">
            <v>#REF!</v>
          </cell>
          <cell r="G238" t="e">
            <v>#REF!</v>
          </cell>
          <cell r="H238" t="e">
            <v>#REF!</v>
          </cell>
        </row>
        <row r="239">
          <cell r="C239" t="str">
            <v xml:space="preserve">   Payroll &amp; Taxes</v>
          </cell>
          <cell r="E239">
            <v>0</v>
          </cell>
          <cell r="F239">
            <v>0</v>
          </cell>
          <cell r="G239">
            <v>0</v>
          </cell>
          <cell r="H239">
            <v>0</v>
          </cell>
          <cell r="K239" t="str">
            <v>Real Estate Check</v>
          </cell>
        </row>
        <row r="240">
          <cell r="C240" t="str">
            <v xml:space="preserve">   Insurance</v>
          </cell>
          <cell r="E240">
            <v>0</v>
          </cell>
          <cell r="F240">
            <v>0</v>
          </cell>
          <cell r="G240">
            <v>0</v>
          </cell>
          <cell r="H240">
            <v>0</v>
          </cell>
          <cell r="K240">
            <v>1300</v>
          </cell>
        </row>
        <row r="241">
          <cell r="C241" t="str">
            <v xml:space="preserve">   Maintenance</v>
          </cell>
          <cell r="E241">
            <v>0</v>
          </cell>
          <cell r="F241">
            <v>0</v>
          </cell>
          <cell r="G241">
            <v>0</v>
          </cell>
          <cell r="H241">
            <v>0</v>
          </cell>
          <cell r="J241">
            <v>3483</v>
          </cell>
          <cell r="K241" t="str">
            <v xml:space="preserve">  Proposed RE Taxes</v>
          </cell>
        </row>
        <row r="242">
          <cell r="C242" t="str">
            <v xml:space="preserve">   Other Expenses</v>
          </cell>
          <cell r="E242">
            <v>0</v>
          </cell>
          <cell r="F242">
            <v>0</v>
          </cell>
          <cell r="G242">
            <v>0</v>
          </cell>
          <cell r="H242">
            <v>0</v>
          </cell>
          <cell r="J242" t="e">
            <v>#REF!</v>
          </cell>
          <cell r="K242" t="str">
            <v xml:space="preserve">  Maintenance/unit/year</v>
          </cell>
        </row>
        <row r="243">
          <cell r="C243" t="str">
            <v>Total Expenses</v>
          </cell>
          <cell r="E243" t="e">
            <v>#REF!</v>
          </cell>
          <cell r="F243" t="e">
            <v>#REF!</v>
          </cell>
          <cell r="G243" t="e">
            <v>#REF!</v>
          </cell>
          <cell r="H243" t="e">
            <v>#REF!</v>
          </cell>
          <cell r="J243" t="str">
            <v>REPLACEMENT RESERVE MINIMUMS</v>
          </cell>
        </row>
        <row r="244">
          <cell r="C244" t="str">
            <v xml:space="preserve">   Operating Reserve</v>
          </cell>
          <cell r="E244">
            <v>0</v>
          </cell>
          <cell r="F244">
            <v>0</v>
          </cell>
          <cell r="G244">
            <v>0</v>
          </cell>
          <cell r="H244">
            <v>0</v>
          </cell>
          <cell r="J244" t="str">
            <v>$250 RR for NC &amp; ALL Senior projects.</v>
          </cell>
        </row>
        <row r="245">
          <cell r="C245" t="str">
            <v xml:space="preserve">   Repl Reserve</v>
          </cell>
          <cell r="E245">
            <v>15250</v>
          </cell>
          <cell r="F245">
            <v>15250</v>
          </cell>
          <cell r="G245">
            <v>15250</v>
          </cell>
          <cell r="H245">
            <v>15250</v>
          </cell>
          <cell r="J245" t="str">
            <v>$300 RR for ALL Rehab projects, except Seniors.</v>
          </cell>
        </row>
        <row r="246">
          <cell r="C246" t="str">
            <v xml:space="preserve">   Real Estate Taxes</v>
          </cell>
          <cell r="E246">
            <v>3483</v>
          </cell>
          <cell r="F246">
            <v>3552.66</v>
          </cell>
          <cell r="G246">
            <v>3623.7131999999997</v>
          </cell>
          <cell r="H246">
            <v>3696.1874639999996</v>
          </cell>
          <cell r="J246" t="str">
            <v>as low as $200 with Exec. Dir. OK</v>
          </cell>
        </row>
        <row r="247">
          <cell r="C247" t="str">
            <v>Service Budget</v>
          </cell>
          <cell r="E247">
            <v>14500</v>
          </cell>
          <cell r="F247">
            <v>14500</v>
          </cell>
          <cell r="G247">
            <v>14500</v>
          </cell>
          <cell r="H247">
            <v>14500</v>
          </cell>
        </row>
        <row r="248">
          <cell r="C248" t="str">
            <v>Avail. for DS</v>
          </cell>
          <cell r="E248" t="e">
            <v>#REF!</v>
          </cell>
          <cell r="F248" t="e">
            <v>#REF!</v>
          </cell>
          <cell r="G248" t="e">
            <v>#REF!</v>
          </cell>
          <cell r="H248" t="e">
            <v>#REF!</v>
          </cell>
          <cell r="J248" t="str">
            <v>REPLACEMENT RESERVE PER UNIT:</v>
          </cell>
        </row>
        <row r="249">
          <cell r="C249">
            <v>0</v>
          </cell>
          <cell r="E249">
            <v>0</v>
          </cell>
          <cell r="F249">
            <v>0</v>
          </cell>
          <cell r="G249">
            <v>0</v>
          </cell>
          <cell r="H249">
            <v>0</v>
          </cell>
          <cell r="J249" t="e">
            <v>#DIV/0!</v>
          </cell>
        </row>
        <row r="250">
          <cell r="C250">
            <v>0</v>
          </cell>
          <cell r="E250">
            <v>0</v>
          </cell>
          <cell r="F250">
            <v>0</v>
          </cell>
          <cell r="G250">
            <v>0</v>
          </cell>
          <cell r="H250">
            <v>0</v>
          </cell>
        </row>
        <row r="251">
          <cell r="C251">
            <v>0</v>
          </cell>
          <cell r="E251">
            <v>0</v>
          </cell>
          <cell r="F251">
            <v>0</v>
          </cell>
          <cell r="G251">
            <v>0</v>
          </cell>
          <cell r="H251">
            <v>0</v>
          </cell>
        </row>
        <row r="252">
          <cell r="C252">
            <v>0</v>
          </cell>
          <cell r="E252">
            <v>0</v>
          </cell>
          <cell r="F252">
            <v>0</v>
          </cell>
          <cell r="G252">
            <v>0</v>
          </cell>
          <cell r="H252">
            <v>0</v>
          </cell>
          <cell r="J252" t="str">
            <v>1.10 to 1 DCR is required.</v>
          </cell>
        </row>
        <row r="253">
          <cell r="C253">
            <v>0</v>
          </cell>
          <cell r="E253">
            <v>0</v>
          </cell>
          <cell r="F253">
            <v>0</v>
          </cell>
          <cell r="G253">
            <v>0</v>
          </cell>
          <cell r="H253">
            <v>0</v>
          </cell>
          <cell r="J253" t="str">
            <v>(1.05 to 1 DCR for RHS &amp; CHFA Projects)</v>
          </cell>
        </row>
        <row r="254">
          <cell r="C254">
            <v>0</v>
          </cell>
          <cell r="E254">
            <v>0</v>
          </cell>
          <cell r="F254">
            <v>0</v>
          </cell>
          <cell r="G254">
            <v>0</v>
          </cell>
          <cell r="H254">
            <v>0</v>
          </cell>
        </row>
        <row r="255">
          <cell r="C255" t="str">
            <v>Total</v>
          </cell>
          <cell r="E255">
            <v>0</v>
          </cell>
          <cell r="F255">
            <v>0</v>
          </cell>
          <cell r="G255">
            <v>0</v>
          </cell>
          <cell r="H255">
            <v>0</v>
          </cell>
          <cell r="J255" t="str">
            <v>RHS Section 515 must be underwritten</v>
          </cell>
        </row>
        <row r="256">
          <cell r="B256" t="str">
            <v>Debt Service Coverage</v>
          </cell>
          <cell r="E256" t="e">
            <v>#REF!</v>
          </cell>
          <cell r="F256" t="e">
            <v>#REF!</v>
          </cell>
          <cell r="G256" t="e">
            <v>#REF!</v>
          </cell>
          <cell r="H256" t="e">
            <v>#REF!</v>
          </cell>
          <cell r="J256" t="str">
            <v>using the 4% Credit rate unless the</v>
          </cell>
        </row>
        <row r="257">
          <cell r="B257" t="str">
            <v>NET INCOME</v>
          </cell>
          <cell r="E257" t="e">
            <v>#REF!</v>
          </cell>
          <cell r="F257" t="e">
            <v>#REF!</v>
          </cell>
          <cell r="G257" t="e">
            <v>#REF!</v>
          </cell>
          <cell r="H257" t="e">
            <v>#REF!</v>
          </cell>
          <cell r="J257" t="str">
            <v>the funds are excluded from basis.</v>
          </cell>
        </row>
        <row r="258">
          <cell r="B258" t="str">
            <v>% OF GROSS INCOME</v>
          </cell>
          <cell r="E258" t="e">
            <v>#REF!</v>
          </cell>
          <cell r="F258" t="e">
            <v>#REF!</v>
          </cell>
          <cell r="G258" t="e">
            <v>#REF!</v>
          </cell>
          <cell r="H258" t="e">
            <v>#REF!</v>
          </cell>
        </row>
        <row r="259">
          <cell r="B259" t="str">
            <v>25% OF DEBT SERVICE</v>
          </cell>
          <cell r="E259" t="e">
            <v>#REF!</v>
          </cell>
          <cell r="F259" t="e">
            <v>#REF!</v>
          </cell>
          <cell r="G259" t="e">
            <v>#REF!</v>
          </cell>
          <cell r="H259" t="e">
            <v>#REF!</v>
          </cell>
          <cell r="J259" t="str">
            <v>RHS Section 514 are underwritten</v>
          </cell>
        </row>
        <row r="260">
          <cell r="A260" t="str">
            <v>COMMERCIAL SPACE</v>
          </cell>
          <cell r="J260" t="str">
            <v>using the 9% Credit rate.</v>
          </cell>
        </row>
        <row r="261">
          <cell r="B261" t="str">
            <v>Income</v>
          </cell>
          <cell r="E261">
            <v>0</v>
          </cell>
          <cell r="F261">
            <v>0</v>
          </cell>
          <cell r="G261">
            <v>0</v>
          </cell>
          <cell r="H261">
            <v>0</v>
          </cell>
        </row>
        <row r="262">
          <cell r="B262" t="str">
            <v>Expenses</v>
          </cell>
          <cell r="E262">
            <v>0</v>
          </cell>
          <cell r="F262">
            <v>0</v>
          </cell>
          <cell r="G262">
            <v>0</v>
          </cell>
          <cell r="H262">
            <v>0</v>
          </cell>
        </row>
        <row r="263">
          <cell r="B263" t="str">
            <v>Debt Service</v>
          </cell>
          <cell r="E263">
            <v>0</v>
          </cell>
          <cell r="F263">
            <v>0</v>
          </cell>
          <cell r="G263">
            <v>0</v>
          </cell>
          <cell r="H263">
            <v>0</v>
          </cell>
        </row>
        <row r="264">
          <cell r="B264" t="str">
            <v>Year</v>
          </cell>
          <cell r="E264">
            <v>5</v>
          </cell>
          <cell r="F264">
            <v>7</v>
          </cell>
          <cell r="G264">
            <v>10</v>
          </cell>
          <cell r="H264">
            <v>15</v>
          </cell>
        </row>
        <row r="265">
          <cell r="B265" t="str">
            <v>Total Tenant Rent</v>
          </cell>
          <cell r="E265">
            <v>0</v>
          </cell>
          <cell r="F265">
            <v>0</v>
          </cell>
          <cell r="G265">
            <v>0</v>
          </cell>
          <cell r="H265">
            <v>0</v>
          </cell>
        </row>
        <row r="266">
          <cell r="B266" t="str">
            <v>Total Rent Subsidy</v>
          </cell>
          <cell r="E266">
            <v>0</v>
          </cell>
          <cell r="F266">
            <v>0</v>
          </cell>
          <cell r="G266">
            <v>0</v>
          </cell>
          <cell r="H266">
            <v>0</v>
          </cell>
        </row>
        <row r="267">
          <cell r="B267" t="str">
            <v>Less Vacancy rate=</v>
          </cell>
          <cell r="D267">
            <v>0.05</v>
          </cell>
          <cell r="E267">
            <v>0</v>
          </cell>
          <cell r="F267">
            <v>0</v>
          </cell>
          <cell r="G267">
            <v>0</v>
          </cell>
          <cell r="H267">
            <v>0</v>
          </cell>
        </row>
        <row r="268">
          <cell r="B268" t="str">
            <v>Miscellaneous Income</v>
          </cell>
          <cell r="E268">
            <v>0</v>
          </cell>
          <cell r="F268">
            <v>0</v>
          </cell>
          <cell r="G268">
            <v>0</v>
          </cell>
          <cell r="H268">
            <v>0</v>
          </cell>
        </row>
        <row r="269">
          <cell r="B269" t="str">
            <v>TOTAL INCOME</v>
          </cell>
          <cell r="E269">
            <v>0</v>
          </cell>
          <cell r="F269">
            <v>0</v>
          </cell>
          <cell r="G269">
            <v>0</v>
          </cell>
          <cell r="H269">
            <v>0</v>
          </cell>
        </row>
        <row r="270">
          <cell r="C270" t="str">
            <v>Annual Expenses</v>
          </cell>
        </row>
        <row r="271">
          <cell r="C271" t="str">
            <v xml:space="preserve">   Gen. Admin.</v>
          </cell>
          <cell r="E271">
            <v>0</v>
          </cell>
          <cell r="F271">
            <v>0</v>
          </cell>
          <cell r="G271">
            <v>0</v>
          </cell>
          <cell r="H271">
            <v>0</v>
          </cell>
        </row>
        <row r="272">
          <cell r="C272" t="str">
            <v xml:space="preserve">   Management</v>
          </cell>
          <cell r="E272">
            <v>0</v>
          </cell>
          <cell r="F272">
            <v>0</v>
          </cell>
          <cell r="G272">
            <v>0</v>
          </cell>
          <cell r="H272">
            <v>0</v>
          </cell>
        </row>
        <row r="273">
          <cell r="C273" t="str">
            <v xml:space="preserve">   Utility</v>
          </cell>
          <cell r="E273">
            <v>0</v>
          </cell>
          <cell r="F273">
            <v>0</v>
          </cell>
          <cell r="G273">
            <v>0</v>
          </cell>
          <cell r="H273">
            <v>0</v>
          </cell>
        </row>
        <row r="274">
          <cell r="C274" t="str">
            <v xml:space="preserve">   Water/Sewer</v>
          </cell>
          <cell r="E274" t="e">
            <v>#REF!</v>
          </cell>
          <cell r="F274" t="e">
            <v>#REF!</v>
          </cell>
          <cell r="G274" t="e">
            <v>#REF!</v>
          </cell>
          <cell r="H274" t="e">
            <v>#REF!</v>
          </cell>
        </row>
        <row r="275">
          <cell r="C275" t="str">
            <v xml:space="preserve">   Payroll &amp; Taxes</v>
          </cell>
          <cell r="E275">
            <v>0</v>
          </cell>
          <cell r="F275">
            <v>0</v>
          </cell>
          <cell r="G275">
            <v>0</v>
          </cell>
          <cell r="H275">
            <v>0</v>
          </cell>
        </row>
        <row r="276">
          <cell r="C276" t="str">
            <v xml:space="preserve">   Insurance</v>
          </cell>
          <cell r="E276">
            <v>0</v>
          </cell>
          <cell r="F276">
            <v>0</v>
          </cell>
          <cell r="G276">
            <v>0</v>
          </cell>
          <cell r="H276">
            <v>0</v>
          </cell>
        </row>
        <row r="277">
          <cell r="C277" t="str">
            <v xml:space="preserve">   Maintenance</v>
          </cell>
          <cell r="E277">
            <v>0</v>
          </cell>
          <cell r="F277">
            <v>0</v>
          </cell>
          <cell r="G277">
            <v>0</v>
          </cell>
          <cell r="H277">
            <v>0</v>
          </cell>
        </row>
        <row r="278">
          <cell r="C278" t="str">
            <v xml:space="preserve">   Other Expenses</v>
          </cell>
          <cell r="E278">
            <v>0</v>
          </cell>
          <cell r="F278">
            <v>0</v>
          </cell>
          <cell r="G278">
            <v>0</v>
          </cell>
          <cell r="H278">
            <v>0</v>
          </cell>
        </row>
        <row r="279">
          <cell r="C279" t="str">
            <v>Total Expenses</v>
          </cell>
          <cell r="E279" t="e">
            <v>#REF!</v>
          </cell>
          <cell r="F279" t="e">
            <v>#REF!</v>
          </cell>
          <cell r="G279" t="e">
            <v>#REF!</v>
          </cell>
          <cell r="H279" t="e">
            <v>#REF!</v>
          </cell>
        </row>
        <row r="280">
          <cell r="C280" t="str">
            <v xml:space="preserve">   Operating Reserve</v>
          </cell>
          <cell r="E280">
            <v>0</v>
          </cell>
          <cell r="F280">
            <v>0</v>
          </cell>
          <cell r="G280">
            <v>0</v>
          </cell>
          <cell r="H280">
            <v>0</v>
          </cell>
        </row>
        <row r="281">
          <cell r="C281" t="str">
            <v xml:space="preserve">   Repl Reserve</v>
          </cell>
          <cell r="E281">
            <v>15250</v>
          </cell>
          <cell r="F281">
            <v>15250</v>
          </cell>
          <cell r="G281">
            <v>15250</v>
          </cell>
          <cell r="H281">
            <v>15250</v>
          </cell>
        </row>
        <row r="282">
          <cell r="C282" t="str">
            <v xml:space="preserve">   Real Estate Taxes</v>
          </cell>
          <cell r="E282">
            <v>3770.1112132799999</v>
          </cell>
          <cell r="F282">
            <v>3922.4237062965121</v>
          </cell>
          <cell r="G282">
            <v>4162.5074165115093</v>
          </cell>
          <cell r="H282">
            <v>4595.7445317479842</v>
          </cell>
        </row>
        <row r="283">
          <cell r="C283" t="str">
            <v>Service Budget</v>
          </cell>
          <cell r="E283">
            <v>14500</v>
          </cell>
          <cell r="F283">
            <v>14500</v>
          </cell>
          <cell r="G283">
            <v>14500</v>
          </cell>
        </row>
        <row r="284">
          <cell r="C284" t="str">
            <v>Avail. for DS</v>
          </cell>
          <cell r="E284" t="e">
            <v>#REF!</v>
          </cell>
          <cell r="F284" t="e">
            <v>#REF!</v>
          </cell>
          <cell r="G284" t="e">
            <v>#REF!</v>
          </cell>
          <cell r="H284" t="e">
            <v>#REF!</v>
          </cell>
        </row>
        <row r="285">
          <cell r="C285">
            <v>0</v>
          </cell>
          <cell r="E285">
            <v>0</v>
          </cell>
          <cell r="F285">
            <v>0</v>
          </cell>
          <cell r="G285">
            <v>0</v>
          </cell>
          <cell r="H285">
            <v>0</v>
          </cell>
        </row>
        <row r="286">
          <cell r="C286">
            <v>0</v>
          </cell>
          <cell r="E286">
            <v>0</v>
          </cell>
          <cell r="F286">
            <v>0</v>
          </cell>
          <cell r="G286">
            <v>0</v>
          </cell>
          <cell r="H286">
            <v>0</v>
          </cell>
        </row>
        <row r="287">
          <cell r="C287">
            <v>0</v>
          </cell>
          <cell r="E287">
            <v>0</v>
          </cell>
          <cell r="F287">
            <v>0</v>
          </cell>
          <cell r="G287">
            <v>0</v>
          </cell>
          <cell r="H287">
            <v>0</v>
          </cell>
        </row>
        <row r="288">
          <cell r="C288">
            <v>0</v>
          </cell>
          <cell r="E288">
            <v>0</v>
          </cell>
          <cell r="F288">
            <v>0</v>
          </cell>
          <cell r="G288">
            <v>0</v>
          </cell>
          <cell r="H288">
            <v>0</v>
          </cell>
        </row>
        <row r="289">
          <cell r="C289">
            <v>0</v>
          </cell>
          <cell r="E289">
            <v>0</v>
          </cell>
          <cell r="F289">
            <v>0</v>
          </cell>
          <cell r="G289">
            <v>0</v>
          </cell>
          <cell r="H289">
            <v>0</v>
          </cell>
        </row>
        <row r="290">
          <cell r="C290">
            <v>0</v>
          </cell>
          <cell r="E290">
            <v>0</v>
          </cell>
          <cell r="F290">
            <v>0</v>
          </cell>
          <cell r="G290">
            <v>0</v>
          </cell>
          <cell r="H290">
            <v>0</v>
          </cell>
        </row>
        <row r="291">
          <cell r="C291">
            <v>0</v>
          </cell>
          <cell r="E291">
            <v>0</v>
          </cell>
          <cell r="F291">
            <v>0</v>
          </cell>
          <cell r="G291">
            <v>0</v>
          </cell>
          <cell r="H291">
            <v>0</v>
          </cell>
        </row>
        <row r="292">
          <cell r="C292" t="str">
            <v>Total</v>
          </cell>
          <cell r="E292">
            <v>0</v>
          </cell>
          <cell r="F292">
            <v>0</v>
          </cell>
          <cell r="G292">
            <v>0</v>
          </cell>
          <cell r="H292">
            <v>0</v>
          </cell>
        </row>
        <row r="294">
          <cell r="B294" t="str">
            <v>Debt Service Coverage</v>
          </cell>
          <cell r="E294" t="e">
            <v>#REF!</v>
          </cell>
          <cell r="F294" t="e">
            <v>#REF!</v>
          </cell>
          <cell r="G294" t="e">
            <v>#REF!</v>
          </cell>
          <cell r="H294" t="e">
            <v>#REF!</v>
          </cell>
        </row>
        <row r="296">
          <cell r="B296" t="str">
            <v>NET INCOME</v>
          </cell>
          <cell r="E296" t="e">
            <v>#REF!</v>
          </cell>
          <cell r="F296" t="e">
            <v>#REF!</v>
          </cell>
          <cell r="G296" t="e">
            <v>#REF!</v>
          </cell>
          <cell r="H296" t="e">
            <v>#REF!</v>
          </cell>
        </row>
        <row r="297">
          <cell r="B297" t="str">
            <v>% of DEBT SERVICE</v>
          </cell>
          <cell r="E297" t="e">
            <v>#DIV/0!</v>
          </cell>
          <cell r="F297" t="e">
            <v>#DIV/0!</v>
          </cell>
          <cell r="G297" t="e">
            <v>#DIV/0!</v>
          </cell>
          <cell r="H297" t="e">
            <v>#DIV/0!</v>
          </cell>
        </row>
        <row r="298">
          <cell r="B298" t="str">
            <v>% OF GROSS INCOME</v>
          </cell>
          <cell r="E298" t="e">
            <v>#REF!</v>
          </cell>
          <cell r="F298" t="e">
            <v>#REF!</v>
          </cell>
          <cell r="G298" t="e">
            <v>#REF!</v>
          </cell>
          <cell r="H298" t="e">
            <v>#REF!</v>
          </cell>
        </row>
        <row r="299">
          <cell r="B299" t="str">
            <v>COMMERCIAL SPACE</v>
          </cell>
        </row>
        <row r="300">
          <cell r="B300" t="str">
            <v>Income</v>
          </cell>
          <cell r="E300">
            <v>0</v>
          </cell>
          <cell r="F300">
            <v>0</v>
          </cell>
          <cell r="G300">
            <v>0</v>
          </cell>
          <cell r="H300">
            <v>0</v>
          </cell>
        </row>
        <row r="301">
          <cell r="B301" t="str">
            <v>Expenses</v>
          </cell>
          <cell r="E301">
            <v>0</v>
          </cell>
          <cell r="F301">
            <v>0</v>
          </cell>
          <cell r="G301">
            <v>0</v>
          </cell>
          <cell r="H301">
            <v>0</v>
          </cell>
        </row>
        <row r="302">
          <cell r="B302" t="str">
            <v>Debt Service</v>
          </cell>
          <cell r="E302">
            <v>0</v>
          </cell>
          <cell r="F302">
            <v>0</v>
          </cell>
          <cell r="G302">
            <v>0</v>
          </cell>
          <cell r="H302">
            <v>0</v>
          </cell>
        </row>
        <row r="303">
          <cell r="B303" t="str">
            <v>Net Income</v>
          </cell>
          <cell r="E303">
            <v>0</v>
          </cell>
          <cell r="F303">
            <v>0</v>
          </cell>
          <cell r="G303">
            <v>0</v>
          </cell>
          <cell r="H303">
            <v>0</v>
          </cell>
        </row>
      </sheetData>
      <sheetData sheetId="2">
        <row r="5">
          <cell r="A5" t="str">
            <v>Alameda</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contacts.asp" TargetMode="External"/><Relationship Id="rId2" Type="http://schemas.openxmlformats.org/officeDocument/2006/relationships/hyperlink" Target="http://www.treasurer.ca.gov/ctcac/assignments.asp" TargetMode="External"/><Relationship Id="rId1" Type="http://schemas.openxmlformats.org/officeDocument/2006/relationships/hyperlink" Target="http://www.treasurer.ca.gov/ctcac/2018/lra/index.asp" TargetMode="External"/><Relationship Id="rId6" Type="http://schemas.openxmlformats.org/officeDocument/2006/relationships/hyperlink" Target="https://www.treasurer.ca.gov/ctcac/2019/submitals/competitive.asp" TargetMode="External"/><Relationship Id="rId5" Type="http://schemas.openxmlformats.org/officeDocument/2006/relationships/hyperlink" Target="http://www.treasurer.ca.gov/ctcac/2019/lra/index.asp" TargetMode="External"/><Relationship Id="rId4" Type="http://schemas.openxmlformats.org/officeDocument/2006/relationships/hyperlink" Target="https://www.treasurer.ca.gov/ctcac/2021/applications/competitive-tax-app-instructions.asp"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www.treasurer.ca.gov/ctcac/assignments.asp" TargetMode="External"/><Relationship Id="rId1" Type="http://schemas.openxmlformats.org/officeDocument/2006/relationships/hyperlink" Target="http://www.treasurer.ca.gov/ctcac/contacts.asp" TargetMode="External"/><Relationship Id="rId6" Type="http://schemas.openxmlformats.org/officeDocument/2006/relationships/image" Target="../media/image1.emf"/><Relationship Id="rId5" Type="http://schemas.openxmlformats.org/officeDocument/2006/relationships/package" Target="../embeddings/Microsoft_Word_Document.docx"/><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www.treasurer.ca.gov/ctcac/2019/methodology.pdf" TargetMode="External"/><Relationship Id="rId7" Type="http://schemas.openxmlformats.org/officeDocument/2006/relationships/hyperlink" Target="https://www.treasurer.ca.gov/ctcac/forms/reserve-certification.docx" TargetMode="External"/><Relationship Id="rId2" Type="http://schemas.openxmlformats.org/officeDocument/2006/relationships/hyperlink" Target="http://qct.huduser.gov/tables/data_request.odb" TargetMode="External"/><Relationship Id="rId1" Type="http://schemas.openxmlformats.org/officeDocument/2006/relationships/hyperlink" Target="https://www.treasurer.ca.gov/ctcac/forms/transfer-event-questionnaire.pdf" TargetMode="External"/><Relationship Id="rId6" Type="http://schemas.openxmlformats.org/officeDocument/2006/relationships/hyperlink" Target="http://www.treasurer.ca.gov/ctcac/opportunity.asp" TargetMode="External"/><Relationship Id="rId5" Type="http://schemas.openxmlformats.org/officeDocument/2006/relationships/hyperlink" Target="https://www.treasurer.ca.gov/ctcac/cuac/index.asp" TargetMode="External"/><Relationship Id="rId4" Type="http://schemas.openxmlformats.org/officeDocument/2006/relationships/hyperlink" Target="https://www.treasurer.ca.gov/ctcac/guidance.asp"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www.treasurer.ca.gov/ctcac/2018/lra/contact.pdf" TargetMode="External"/><Relationship Id="rId2" Type="http://schemas.openxmlformats.org/officeDocument/2006/relationships/hyperlink" Target="http://www.treasurer.ca.gov/ctcac/2019/lra/contact.pdf" TargetMode="External"/><Relationship Id="rId1" Type="http://schemas.openxmlformats.org/officeDocument/2006/relationships/hyperlink" Target="http://findyourrep.legislature.ca.gov/" TargetMode="External"/><Relationship Id="rId6" Type="http://schemas.openxmlformats.org/officeDocument/2006/relationships/comments" Target="../comments1.xml"/><Relationship Id="rId5" Type="http://schemas.openxmlformats.org/officeDocument/2006/relationships/vmlDrawing" Target="../drawings/vmlDrawing2.vml"/><Relationship Id="rId4"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4.v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5.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AL419"/>
  <sheetViews>
    <sheetView showGridLines="0" zoomScaleSheetLayoutView="100" workbookViewId="0">
      <selection sqref="A1:AL2"/>
    </sheetView>
  </sheetViews>
  <sheetFormatPr defaultColWidth="0" defaultRowHeight="13.2" zeroHeight="1"/>
  <cols>
    <col min="1" max="38" width="2.44140625" customWidth="1"/>
    <col min="39" max="16384" width="8.88671875" style="272" hidden="1"/>
  </cols>
  <sheetData>
    <row r="1" spans="1:38">
      <c r="A1" s="1525" t="s">
        <v>2136</v>
      </c>
      <c r="B1" s="1525"/>
      <c r="C1" s="1525"/>
      <c r="D1" s="1525"/>
      <c r="E1" s="1525"/>
      <c r="F1" s="1525"/>
      <c r="G1" s="1525"/>
      <c r="H1" s="1525"/>
      <c r="I1" s="1525"/>
      <c r="J1" s="1525"/>
      <c r="K1" s="1525"/>
      <c r="L1" s="1525"/>
      <c r="M1" s="1525"/>
      <c r="N1" s="1525"/>
      <c r="O1" s="1525"/>
      <c r="P1" s="1525"/>
      <c r="Q1" s="1525"/>
      <c r="R1" s="1525"/>
      <c r="S1" s="1525"/>
      <c r="T1" s="1525"/>
      <c r="U1" s="1525"/>
      <c r="V1" s="1525"/>
      <c r="W1" s="1525"/>
      <c r="X1" s="1525"/>
      <c r="Y1" s="1525"/>
      <c r="Z1" s="1525"/>
      <c r="AA1" s="1525"/>
      <c r="AB1" s="1525"/>
      <c r="AC1" s="1525"/>
      <c r="AD1" s="1525"/>
      <c r="AE1" s="1525"/>
      <c r="AF1" s="1525"/>
      <c r="AG1" s="1525"/>
      <c r="AH1" s="1525"/>
      <c r="AI1" s="1525"/>
      <c r="AJ1" s="1525"/>
      <c r="AK1" s="1525"/>
      <c r="AL1" s="1526"/>
    </row>
    <row r="2" spans="1:38" ht="13.8" thickBot="1">
      <c r="A2" s="1527"/>
      <c r="B2" s="1527"/>
      <c r="C2" s="1527"/>
      <c r="D2" s="1527"/>
      <c r="E2" s="1527"/>
      <c r="F2" s="1527"/>
      <c r="G2" s="1527"/>
      <c r="H2" s="1527"/>
      <c r="I2" s="1527"/>
      <c r="J2" s="1527"/>
      <c r="K2" s="1527"/>
      <c r="L2" s="1527"/>
      <c r="M2" s="1527"/>
      <c r="N2" s="1527"/>
      <c r="O2" s="1527"/>
      <c r="P2" s="1527"/>
      <c r="Q2" s="1527"/>
      <c r="R2" s="1527"/>
      <c r="S2" s="1527"/>
      <c r="T2" s="1527"/>
      <c r="U2" s="1527"/>
      <c r="V2" s="1527"/>
      <c r="W2" s="1527"/>
      <c r="X2" s="1527"/>
      <c r="Y2" s="1527"/>
      <c r="Z2" s="1527"/>
      <c r="AA2" s="1527"/>
      <c r="AB2" s="1527"/>
      <c r="AC2" s="1527"/>
      <c r="AD2" s="1527"/>
      <c r="AE2" s="1527"/>
      <c r="AF2" s="1527"/>
      <c r="AG2" s="1527"/>
      <c r="AH2" s="1527"/>
      <c r="AI2" s="1527"/>
      <c r="AJ2" s="1527"/>
      <c r="AK2" s="1527"/>
      <c r="AL2" s="1528"/>
    </row>
    <row r="3" spans="1:38" ht="13.8" thickTop="1">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row>
    <row r="4" spans="1:38">
      <c r="A4" s="12"/>
      <c r="B4" s="1066" t="s">
        <v>796</v>
      </c>
      <c r="C4" s="1066" t="s">
        <v>213</v>
      </c>
      <c r="D4" s="356"/>
      <c r="E4" s="356"/>
      <c r="F4" s="356"/>
      <c r="G4" s="356"/>
      <c r="H4" s="356"/>
      <c r="I4" s="356"/>
      <c r="J4" s="356"/>
      <c r="K4" s="356"/>
      <c r="L4" s="356"/>
      <c r="M4" s="356"/>
      <c r="N4" s="356"/>
      <c r="O4" s="356"/>
      <c r="P4" s="356"/>
      <c r="Q4" s="356"/>
      <c r="R4" s="356"/>
      <c r="S4" s="356"/>
      <c r="T4" s="356"/>
      <c r="U4" s="356"/>
      <c r="V4" s="356"/>
      <c r="W4" s="356"/>
      <c r="X4" s="356"/>
      <c r="Y4" s="356"/>
      <c r="Z4" s="356"/>
      <c r="AA4" s="356"/>
      <c r="AB4" s="356"/>
      <c r="AC4" s="12"/>
      <c r="AD4" s="12"/>
      <c r="AE4" s="12"/>
      <c r="AF4" s="12"/>
      <c r="AG4" s="12"/>
      <c r="AH4" s="12"/>
      <c r="AI4" s="12"/>
      <c r="AJ4" s="12"/>
      <c r="AK4" s="12"/>
      <c r="AL4" s="12"/>
    </row>
    <row r="5" spans="1:38">
      <c r="A5" s="1"/>
      <c r="B5" s="358"/>
      <c r="C5" s="358"/>
      <c r="D5" s="283"/>
      <c r="E5" s="283"/>
      <c r="F5" s="283"/>
      <c r="G5" s="283"/>
      <c r="H5" s="283"/>
      <c r="I5" s="283"/>
      <c r="J5" s="283"/>
      <c r="K5" s="283"/>
      <c r="L5" s="283"/>
      <c r="M5" s="283"/>
      <c r="N5" s="283"/>
      <c r="O5" s="283"/>
      <c r="P5" s="283"/>
      <c r="Q5" s="283"/>
      <c r="R5" s="283"/>
      <c r="S5" s="283"/>
      <c r="T5" s="283"/>
      <c r="U5" s="283"/>
      <c r="V5" s="283"/>
      <c r="W5" s="283"/>
      <c r="X5" s="283"/>
      <c r="Y5" s="283"/>
      <c r="Z5" s="283"/>
      <c r="AA5" s="283"/>
      <c r="AB5" s="283"/>
      <c r="AC5" s="1"/>
      <c r="AD5" s="1"/>
      <c r="AE5" s="1"/>
      <c r="AF5" s="1"/>
      <c r="AG5" s="1"/>
      <c r="AH5" s="1"/>
      <c r="AI5" s="1"/>
      <c r="AJ5" s="1"/>
      <c r="AK5" s="1"/>
      <c r="AL5" s="1"/>
    </row>
    <row r="6" spans="1:38">
      <c r="A6" s="283"/>
      <c r="B6" s="1"/>
      <c r="C6" s="358" t="s">
        <v>901</v>
      </c>
      <c r="D6" s="358" t="s">
        <v>339</v>
      </c>
      <c r="E6" s="1"/>
      <c r="F6" s="283"/>
      <c r="G6" s="283"/>
      <c r="H6" s="283"/>
      <c r="I6" s="283"/>
      <c r="J6" s="283"/>
      <c r="K6" s="283"/>
      <c r="L6" s="283"/>
      <c r="M6" s="283"/>
      <c r="N6" s="283"/>
      <c r="O6" s="283"/>
      <c r="P6" s="283"/>
      <c r="Q6" s="283"/>
      <c r="R6" s="283"/>
      <c r="S6" s="283"/>
      <c r="T6" s="283"/>
      <c r="U6" s="283"/>
      <c r="V6" s="283"/>
      <c r="W6" s="283"/>
      <c r="X6" s="283"/>
      <c r="Y6" s="283"/>
      <c r="Z6" s="283"/>
      <c r="AA6" s="283"/>
      <c r="AB6" s="283"/>
      <c r="AC6" s="1"/>
      <c r="AD6" s="1"/>
      <c r="AE6" s="1"/>
      <c r="AF6" s="1"/>
      <c r="AG6" s="1"/>
      <c r="AH6" s="1"/>
      <c r="AI6" s="1"/>
      <c r="AJ6" s="1"/>
      <c r="AK6" s="1"/>
      <c r="AL6" s="1"/>
    </row>
    <row r="7" spans="1:38" ht="13.65" customHeight="1">
      <c r="A7" s="283"/>
      <c r="B7" s="1"/>
      <c r="C7" s="358"/>
      <c r="D7" s="1515" t="s">
        <v>2140</v>
      </c>
      <c r="E7" s="1515"/>
      <c r="F7" s="1515"/>
      <c r="G7" s="1515"/>
      <c r="H7" s="1515"/>
      <c r="I7" s="1515"/>
      <c r="J7" s="1515"/>
      <c r="K7" s="1515"/>
      <c r="L7" s="1515"/>
      <c r="M7" s="1515"/>
      <c r="N7" s="1515"/>
      <c r="O7" s="1515"/>
      <c r="P7" s="1515"/>
      <c r="Q7" s="1515"/>
      <c r="R7" s="1515"/>
      <c r="S7" s="1515"/>
      <c r="T7" s="1515"/>
      <c r="U7" s="1515"/>
      <c r="V7" s="1515"/>
      <c r="W7" s="1515"/>
      <c r="X7" s="1515"/>
      <c r="Y7" s="1515"/>
      <c r="Z7" s="1515"/>
      <c r="AA7" s="1515"/>
      <c r="AB7" s="1515"/>
      <c r="AC7" s="1515"/>
      <c r="AD7" s="1515"/>
      <c r="AE7" s="1515"/>
      <c r="AF7" s="1515"/>
      <c r="AG7" s="1515"/>
      <c r="AH7" s="1515"/>
      <c r="AI7" s="1515"/>
      <c r="AJ7" s="1515"/>
      <c r="AK7" s="1515"/>
      <c r="AL7" s="1"/>
    </row>
    <row r="8" spans="1:38">
      <c r="A8" s="283"/>
      <c r="B8" s="1"/>
      <c r="C8" s="358"/>
      <c r="D8" s="1515"/>
      <c r="E8" s="1515"/>
      <c r="F8" s="1515"/>
      <c r="G8" s="1515"/>
      <c r="H8" s="1515"/>
      <c r="I8" s="1515"/>
      <c r="J8" s="1515"/>
      <c r="K8" s="1515"/>
      <c r="L8" s="1515"/>
      <c r="M8" s="1515"/>
      <c r="N8" s="1515"/>
      <c r="O8" s="1515"/>
      <c r="P8" s="1515"/>
      <c r="Q8" s="1515"/>
      <c r="R8" s="1515"/>
      <c r="S8" s="1515"/>
      <c r="T8" s="1515"/>
      <c r="U8" s="1515"/>
      <c r="V8" s="1515"/>
      <c r="W8" s="1515"/>
      <c r="X8" s="1515"/>
      <c r="Y8" s="1515"/>
      <c r="Z8" s="1515"/>
      <c r="AA8" s="1515"/>
      <c r="AB8" s="1515"/>
      <c r="AC8" s="1515"/>
      <c r="AD8" s="1515"/>
      <c r="AE8" s="1515"/>
      <c r="AF8" s="1515"/>
      <c r="AG8" s="1515"/>
      <c r="AH8" s="1515"/>
      <c r="AI8" s="1515"/>
      <c r="AJ8" s="1515"/>
      <c r="AK8" s="1515"/>
      <c r="AL8" s="1"/>
    </row>
    <row r="9" spans="1:38">
      <c r="A9" s="283"/>
      <c r="B9" s="1"/>
      <c r="C9" s="358"/>
      <c r="D9" s="1515"/>
      <c r="E9" s="1515"/>
      <c r="F9" s="1515"/>
      <c r="G9" s="1515"/>
      <c r="H9" s="1515"/>
      <c r="I9" s="1515"/>
      <c r="J9" s="1515"/>
      <c r="K9" s="1515"/>
      <c r="L9" s="1515"/>
      <c r="M9" s="1515"/>
      <c r="N9" s="1515"/>
      <c r="O9" s="1515"/>
      <c r="P9" s="1515"/>
      <c r="Q9" s="1515"/>
      <c r="R9" s="1515"/>
      <c r="S9" s="1515"/>
      <c r="T9" s="1515"/>
      <c r="U9" s="1515"/>
      <c r="V9" s="1515"/>
      <c r="W9" s="1515"/>
      <c r="X9" s="1515"/>
      <c r="Y9" s="1515"/>
      <c r="Z9" s="1515"/>
      <c r="AA9" s="1515"/>
      <c r="AB9" s="1515"/>
      <c r="AC9" s="1515"/>
      <c r="AD9" s="1515"/>
      <c r="AE9" s="1515"/>
      <c r="AF9" s="1515"/>
      <c r="AG9" s="1515"/>
      <c r="AH9" s="1515"/>
      <c r="AI9" s="1515"/>
      <c r="AJ9" s="1515"/>
      <c r="AK9" s="1515"/>
      <c r="AL9" s="1"/>
    </row>
    <row r="10" spans="1:38">
      <c r="A10" s="283"/>
      <c r="B10" s="1"/>
      <c r="C10" s="358"/>
      <c r="D10" s="1515"/>
      <c r="E10" s="1515"/>
      <c r="F10" s="1515"/>
      <c r="G10" s="1515"/>
      <c r="H10" s="1515"/>
      <c r="I10" s="1515"/>
      <c r="J10" s="1515"/>
      <c r="K10" s="1515"/>
      <c r="L10" s="1515"/>
      <c r="M10" s="1515"/>
      <c r="N10" s="1515"/>
      <c r="O10" s="1515"/>
      <c r="P10" s="1515"/>
      <c r="Q10" s="1515"/>
      <c r="R10" s="1515"/>
      <c r="S10" s="1515"/>
      <c r="T10" s="1515"/>
      <c r="U10" s="1515"/>
      <c r="V10" s="1515"/>
      <c r="W10" s="1515"/>
      <c r="X10" s="1515"/>
      <c r="Y10" s="1515"/>
      <c r="Z10" s="1515"/>
      <c r="AA10" s="1515"/>
      <c r="AB10" s="1515"/>
      <c r="AC10" s="1515"/>
      <c r="AD10" s="1515"/>
      <c r="AE10" s="1515"/>
      <c r="AF10" s="1515"/>
      <c r="AG10" s="1515"/>
      <c r="AH10" s="1515"/>
      <c r="AI10" s="1515"/>
      <c r="AJ10" s="1515"/>
      <c r="AK10" s="1515"/>
      <c r="AL10" s="1"/>
    </row>
    <row r="11" spans="1:38">
      <c r="A11" s="283"/>
      <c r="B11" s="1"/>
      <c r="C11" s="358"/>
      <c r="D11" s="1515"/>
      <c r="E11" s="1515"/>
      <c r="F11" s="1515"/>
      <c r="G11" s="1515"/>
      <c r="H11" s="1515"/>
      <c r="I11" s="1515"/>
      <c r="J11" s="1515"/>
      <c r="K11" s="1515"/>
      <c r="L11" s="1515"/>
      <c r="M11" s="1515"/>
      <c r="N11" s="1515"/>
      <c r="O11" s="1515"/>
      <c r="P11" s="1515"/>
      <c r="Q11" s="1515"/>
      <c r="R11" s="1515"/>
      <c r="S11" s="1515"/>
      <c r="T11" s="1515"/>
      <c r="U11" s="1515"/>
      <c r="V11" s="1515"/>
      <c r="W11" s="1515"/>
      <c r="X11" s="1515"/>
      <c r="Y11" s="1515"/>
      <c r="Z11" s="1515"/>
      <c r="AA11" s="1515"/>
      <c r="AB11" s="1515"/>
      <c r="AC11" s="1515"/>
      <c r="AD11" s="1515"/>
      <c r="AE11" s="1515"/>
      <c r="AF11" s="1515"/>
      <c r="AG11" s="1515"/>
      <c r="AH11" s="1515"/>
      <c r="AI11" s="1515"/>
      <c r="AJ11" s="1515"/>
      <c r="AK11" s="1515"/>
      <c r="AL11" s="1"/>
    </row>
    <row r="12" spans="1:38">
      <c r="A12" s="283"/>
      <c r="B12" s="1"/>
      <c r="C12" s="358"/>
      <c r="D12" s="1515"/>
      <c r="E12" s="1515"/>
      <c r="F12" s="1515"/>
      <c r="G12" s="1515"/>
      <c r="H12" s="1515"/>
      <c r="I12" s="1515"/>
      <c r="J12" s="1515"/>
      <c r="K12" s="1515"/>
      <c r="L12" s="1515"/>
      <c r="M12" s="1515"/>
      <c r="N12" s="1515"/>
      <c r="O12" s="1515"/>
      <c r="P12" s="1515"/>
      <c r="Q12" s="1515"/>
      <c r="R12" s="1515"/>
      <c r="S12" s="1515"/>
      <c r="T12" s="1515"/>
      <c r="U12" s="1515"/>
      <c r="V12" s="1515"/>
      <c r="W12" s="1515"/>
      <c r="X12" s="1515"/>
      <c r="Y12" s="1515"/>
      <c r="Z12" s="1515"/>
      <c r="AA12" s="1515"/>
      <c r="AB12" s="1515"/>
      <c r="AC12" s="1515"/>
      <c r="AD12" s="1515"/>
      <c r="AE12" s="1515"/>
      <c r="AF12" s="1515"/>
      <c r="AG12" s="1515"/>
      <c r="AH12" s="1515"/>
      <c r="AI12" s="1515"/>
      <c r="AJ12" s="1515"/>
      <c r="AK12" s="1515"/>
      <c r="AL12" s="1"/>
    </row>
    <row r="13" spans="1:38">
      <c r="A13" s="283"/>
      <c r="B13" s="1"/>
      <c r="C13" s="358"/>
      <c r="D13" s="1515"/>
      <c r="E13" s="1515"/>
      <c r="F13" s="1515"/>
      <c r="G13" s="1515"/>
      <c r="H13" s="1515"/>
      <c r="I13" s="1515"/>
      <c r="J13" s="1515"/>
      <c r="K13" s="1515"/>
      <c r="L13" s="1515"/>
      <c r="M13" s="1515"/>
      <c r="N13" s="1515"/>
      <c r="O13" s="1515"/>
      <c r="P13" s="1515"/>
      <c r="Q13" s="1515"/>
      <c r="R13" s="1515"/>
      <c r="S13" s="1515"/>
      <c r="T13" s="1515"/>
      <c r="U13" s="1515"/>
      <c r="V13" s="1515"/>
      <c r="W13" s="1515"/>
      <c r="X13" s="1515"/>
      <c r="Y13" s="1515"/>
      <c r="Z13" s="1515"/>
      <c r="AA13" s="1515"/>
      <c r="AB13" s="1515"/>
      <c r="AC13" s="1515"/>
      <c r="AD13" s="1515"/>
      <c r="AE13" s="1515"/>
      <c r="AF13" s="1515"/>
      <c r="AG13" s="1515"/>
      <c r="AH13" s="1515"/>
      <c r="AI13" s="1515"/>
      <c r="AJ13" s="1515"/>
      <c r="AK13" s="1515"/>
      <c r="AL13" s="1"/>
    </row>
    <row r="14" spans="1:38">
      <c r="A14" s="283"/>
      <c r="B14" s="1"/>
      <c r="C14" s="358"/>
      <c r="D14" s="1515"/>
      <c r="E14" s="1515"/>
      <c r="F14" s="1515"/>
      <c r="G14" s="1515"/>
      <c r="H14" s="1515"/>
      <c r="I14" s="1515"/>
      <c r="J14" s="1515"/>
      <c r="K14" s="1515"/>
      <c r="L14" s="1515"/>
      <c r="M14" s="1515"/>
      <c r="N14" s="1515"/>
      <c r="O14" s="1515"/>
      <c r="P14" s="1515"/>
      <c r="Q14" s="1515"/>
      <c r="R14" s="1515"/>
      <c r="S14" s="1515"/>
      <c r="T14" s="1515"/>
      <c r="U14" s="1515"/>
      <c r="V14" s="1515"/>
      <c r="W14" s="1515"/>
      <c r="X14" s="1515"/>
      <c r="Y14" s="1515"/>
      <c r="Z14" s="1515"/>
      <c r="AA14" s="1515"/>
      <c r="AB14" s="1515"/>
      <c r="AC14" s="1515"/>
      <c r="AD14" s="1515"/>
      <c r="AE14" s="1515"/>
      <c r="AF14" s="1515"/>
      <c r="AG14" s="1515"/>
      <c r="AH14" s="1515"/>
      <c r="AI14" s="1515"/>
      <c r="AJ14" s="1515"/>
      <c r="AK14" s="1515"/>
      <c r="AL14" s="1"/>
    </row>
    <row r="15" spans="1:38">
      <c r="A15" s="283"/>
      <c r="B15" s="1"/>
      <c r="C15" s="358"/>
      <c r="D15" s="1515"/>
      <c r="E15" s="1515"/>
      <c r="F15" s="1515"/>
      <c r="G15" s="1515"/>
      <c r="H15" s="1515"/>
      <c r="I15" s="1515"/>
      <c r="J15" s="1515"/>
      <c r="K15" s="1515"/>
      <c r="L15" s="1515"/>
      <c r="M15" s="1515"/>
      <c r="N15" s="1515"/>
      <c r="O15" s="1515"/>
      <c r="P15" s="1515"/>
      <c r="Q15" s="1515"/>
      <c r="R15" s="1515"/>
      <c r="S15" s="1515"/>
      <c r="T15" s="1515"/>
      <c r="U15" s="1515"/>
      <c r="V15" s="1515"/>
      <c r="W15" s="1515"/>
      <c r="X15" s="1515"/>
      <c r="Y15" s="1515"/>
      <c r="Z15" s="1515"/>
      <c r="AA15" s="1515"/>
      <c r="AB15" s="1515"/>
      <c r="AC15" s="1515"/>
      <c r="AD15" s="1515"/>
      <c r="AE15" s="1515"/>
      <c r="AF15" s="1515"/>
      <c r="AG15" s="1515"/>
      <c r="AH15" s="1515"/>
      <c r="AI15" s="1515"/>
      <c r="AJ15" s="1515"/>
      <c r="AK15" s="1515"/>
      <c r="AL15" s="1"/>
    </row>
    <row r="16" spans="1:38">
      <c r="A16" s="283"/>
      <c r="B16" s="1"/>
      <c r="C16" s="358"/>
      <c r="D16" s="1515"/>
      <c r="E16" s="1515"/>
      <c r="F16" s="1515"/>
      <c r="G16" s="1515"/>
      <c r="H16" s="1515"/>
      <c r="I16" s="1515"/>
      <c r="J16" s="1515"/>
      <c r="K16" s="1515"/>
      <c r="L16" s="1515"/>
      <c r="M16" s="1515"/>
      <c r="N16" s="1515"/>
      <c r="O16" s="1515"/>
      <c r="P16" s="1515"/>
      <c r="Q16" s="1515"/>
      <c r="R16" s="1515"/>
      <c r="S16" s="1515"/>
      <c r="T16" s="1515"/>
      <c r="U16" s="1515"/>
      <c r="V16" s="1515"/>
      <c r="W16" s="1515"/>
      <c r="X16" s="1515"/>
      <c r="Y16" s="1515"/>
      <c r="Z16" s="1515"/>
      <c r="AA16" s="1515"/>
      <c r="AB16" s="1515"/>
      <c r="AC16" s="1515"/>
      <c r="AD16" s="1515"/>
      <c r="AE16" s="1515"/>
      <c r="AF16" s="1515"/>
      <c r="AG16" s="1515"/>
      <c r="AH16" s="1515"/>
      <c r="AI16" s="1515"/>
      <c r="AJ16" s="1515"/>
      <c r="AK16" s="1515"/>
      <c r="AL16" s="1"/>
    </row>
    <row r="17" spans="1:38">
      <c r="A17" s="283"/>
      <c r="B17" s="1"/>
      <c r="C17" s="358"/>
      <c r="D17" s="1515"/>
      <c r="E17" s="1515"/>
      <c r="F17" s="1515"/>
      <c r="G17" s="1515"/>
      <c r="H17" s="1515"/>
      <c r="I17" s="1515"/>
      <c r="J17" s="1515"/>
      <c r="K17" s="1515"/>
      <c r="L17" s="1515"/>
      <c r="M17" s="1515"/>
      <c r="N17" s="1515"/>
      <c r="O17" s="1515"/>
      <c r="P17" s="1515"/>
      <c r="Q17" s="1515"/>
      <c r="R17" s="1515"/>
      <c r="S17" s="1515"/>
      <c r="T17" s="1515"/>
      <c r="U17" s="1515"/>
      <c r="V17" s="1515"/>
      <c r="W17" s="1515"/>
      <c r="X17" s="1515"/>
      <c r="Y17" s="1515"/>
      <c r="Z17" s="1515"/>
      <c r="AA17" s="1515"/>
      <c r="AB17" s="1515"/>
      <c r="AC17" s="1515"/>
      <c r="AD17" s="1515"/>
      <c r="AE17" s="1515"/>
      <c r="AF17" s="1515"/>
      <c r="AG17" s="1515"/>
      <c r="AH17" s="1515"/>
      <c r="AI17" s="1515"/>
      <c r="AJ17" s="1515"/>
      <c r="AK17" s="1515"/>
      <c r="AL17" s="1"/>
    </row>
    <row r="18" spans="1:38" ht="11.1" customHeight="1">
      <c r="A18" s="283"/>
      <c r="B18" s="1"/>
      <c r="C18" s="358"/>
      <c r="D18" s="1515"/>
      <c r="E18" s="1515"/>
      <c r="F18" s="1515"/>
      <c r="G18" s="1515"/>
      <c r="H18" s="1515"/>
      <c r="I18" s="1515"/>
      <c r="J18" s="1515"/>
      <c r="K18" s="1515"/>
      <c r="L18" s="1515"/>
      <c r="M18" s="1515"/>
      <c r="N18" s="1515"/>
      <c r="O18" s="1515"/>
      <c r="P18" s="1515"/>
      <c r="Q18" s="1515"/>
      <c r="R18" s="1515"/>
      <c r="S18" s="1515"/>
      <c r="T18" s="1515"/>
      <c r="U18" s="1515"/>
      <c r="V18" s="1515"/>
      <c r="W18" s="1515"/>
      <c r="X18" s="1515"/>
      <c r="Y18" s="1515"/>
      <c r="Z18" s="1515"/>
      <c r="AA18" s="1515"/>
      <c r="AB18" s="1515"/>
      <c r="AC18" s="1515"/>
      <c r="AD18" s="1515"/>
      <c r="AE18" s="1515"/>
      <c r="AF18" s="1515"/>
      <c r="AG18" s="1515"/>
      <c r="AH18" s="1515"/>
      <c r="AI18" s="1515"/>
      <c r="AJ18" s="1515"/>
      <c r="AK18" s="1515"/>
      <c r="AL18" s="1"/>
    </row>
    <row r="19" spans="1:38" ht="13.65" customHeight="1">
      <c r="A19" s="283"/>
      <c r="B19" s="1"/>
      <c r="C19" s="358"/>
      <c r="D19" s="1515" t="s">
        <v>2325</v>
      </c>
      <c r="E19" s="1515"/>
      <c r="F19" s="1515"/>
      <c r="G19" s="1515"/>
      <c r="H19" s="1515"/>
      <c r="I19" s="1515"/>
      <c r="J19" s="1515"/>
      <c r="K19" s="1515"/>
      <c r="L19" s="1515"/>
      <c r="M19" s="1515"/>
      <c r="N19" s="1515"/>
      <c r="O19" s="1515"/>
      <c r="P19" s="1515"/>
      <c r="Q19" s="1515"/>
      <c r="R19" s="1515"/>
      <c r="S19" s="1515"/>
      <c r="T19" s="1515"/>
      <c r="U19" s="1515"/>
      <c r="V19" s="1515"/>
      <c r="W19" s="1515"/>
      <c r="X19" s="1515"/>
      <c r="Y19" s="1515"/>
      <c r="Z19" s="1515"/>
      <c r="AA19" s="1515"/>
      <c r="AB19" s="1515"/>
      <c r="AC19" s="1515"/>
      <c r="AD19" s="1515"/>
      <c r="AE19" s="1515"/>
      <c r="AF19" s="1515"/>
      <c r="AG19" s="1515"/>
      <c r="AH19" s="1515"/>
      <c r="AI19" s="1515"/>
      <c r="AJ19" s="1515"/>
      <c r="AK19" s="1515"/>
      <c r="AL19" s="1"/>
    </row>
    <row r="20" spans="1:38">
      <c r="A20" s="283"/>
      <c r="B20" s="1"/>
      <c r="C20" s="358"/>
      <c r="D20" s="1515"/>
      <c r="E20" s="1515"/>
      <c r="F20" s="1515"/>
      <c r="G20" s="1515"/>
      <c r="H20" s="1515"/>
      <c r="I20" s="1515"/>
      <c r="J20" s="1515"/>
      <c r="K20" s="1515"/>
      <c r="L20" s="1515"/>
      <c r="M20" s="1515"/>
      <c r="N20" s="1515"/>
      <c r="O20" s="1515"/>
      <c r="P20" s="1515"/>
      <c r="Q20" s="1515"/>
      <c r="R20" s="1515"/>
      <c r="S20" s="1515"/>
      <c r="T20" s="1515"/>
      <c r="U20" s="1515"/>
      <c r="V20" s="1515"/>
      <c r="W20" s="1515"/>
      <c r="X20" s="1515"/>
      <c r="Y20" s="1515"/>
      <c r="Z20" s="1515"/>
      <c r="AA20" s="1515"/>
      <c r="AB20" s="1515"/>
      <c r="AC20" s="1515"/>
      <c r="AD20" s="1515"/>
      <c r="AE20" s="1515"/>
      <c r="AF20" s="1515"/>
      <c r="AG20" s="1515"/>
      <c r="AH20" s="1515"/>
      <c r="AI20" s="1515"/>
      <c r="AJ20" s="1515"/>
      <c r="AK20" s="1515"/>
      <c r="AL20" s="1"/>
    </row>
    <row r="21" spans="1:38">
      <c r="A21" s="283"/>
      <c r="B21" s="1"/>
      <c r="C21" s="358"/>
      <c r="D21" s="1515"/>
      <c r="E21" s="1515"/>
      <c r="F21" s="1515"/>
      <c r="G21" s="1515"/>
      <c r="H21" s="1515"/>
      <c r="I21" s="1515"/>
      <c r="J21" s="1515"/>
      <c r="K21" s="1515"/>
      <c r="L21" s="1515"/>
      <c r="M21" s="1515"/>
      <c r="N21" s="1515"/>
      <c r="O21" s="1515"/>
      <c r="P21" s="1515"/>
      <c r="Q21" s="1515"/>
      <c r="R21" s="1515"/>
      <c r="S21" s="1515"/>
      <c r="T21" s="1515"/>
      <c r="U21" s="1515"/>
      <c r="V21" s="1515"/>
      <c r="W21" s="1515"/>
      <c r="X21" s="1515"/>
      <c r="Y21" s="1515"/>
      <c r="Z21" s="1515"/>
      <c r="AA21" s="1515"/>
      <c r="AB21" s="1515"/>
      <c r="AC21" s="1515"/>
      <c r="AD21" s="1515"/>
      <c r="AE21" s="1515"/>
      <c r="AF21" s="1515"/>
      <c r="AG21" s="1515"/>
      <c r="AH21" s="1515"/>
      <c r="AI21" s="1515"/>
      <c r="AJ21" s="1515"/>
      <c r="AK21" s="1515"/>
      <c r="AL21" s="1"/>
    </row>
    <row r="22" spans="1:38">
      <c r="A22" s="283"/>
      <c r="B22" s="1"/>
      <c r="C22" s="358"/>
      <c r="D22" s="1515"/>
      <c r="E22" s="1515"/>
      <c r="F22" s="1515"/>
      <c r="G22" s="1515"/>
      <c r="H22" s="1515"/>
      <c r="I22" s="1515"/>
      <c r="J22" s="1515"/>
      <c r="K22" s="1515"/>
      <c r="L22" s="1515"/>
      <c r="M22" s="1515"/>
      <c r="N22" s="1515"/>
      <c r="O22" s="1515"/>
      <c r="P22" s="1515"/>
      <c r="Q22" s="1515"/>
      <c r="R22" s="1515"/>
      <c r="S22" s="1515"/>
      <c r="T22" s="1515"/>
      <c r="U22" s="1515"/>
      <c r="V22" s="1515"/>
      <c r="W22" s="1515"/>
      <c r="X22" s="1515"/>
      <c r="Y22" s="1515"/>
      <c r="Z22" s="1515"/>
      <c r="AA22" s="1515"/>
      <c r="AB22" s="1515"/>
      <c r="AC22" s="1515"/>
      <c r="AD22" s="1515"/>
      <c r="AE22" s="1515"/>
      <c r="AF22" s="1515"/>
      <c r="AG22" s="1515"/>
      <c r="AH22" s="1515"/>
      <c r="AI22" s="1515"/>
      <c r="AJ22" s="1515"/>
      <c r="AK22" s="1515"/>
      <c r="AL22" s="1"/>
    </row>
    <row r="23" spans="1:38">
      <c r="A23" s="283"/>
      <c r="B23" s="1"/>
      <c r="C23" s="358"/>
      <c r="D23" s="1515"/>
      <c r="E23" s="1515"/>
      <c r="F23" s="1515"/>
      <c r="G23" s="1515"/>
      <c r="H23" s="1515"/>
      <c r="I23" s="1515"/>
      <c r="J23" s="1515"/>
      <c r="K23" s="1515"/>
      <c r="L23" s="1515"/>
      <c r="M23" s="1515"/>
      <c r="N23" s="1515"/>
      <c r="O23" s="1515"/>
      <c r="P23" s="1515"/>
      <c r="Q23" s="1515"/>
      <c r="R23" s="1515"/>
      <c r="S23" s="1515"/>
      <c r="T23" s="1515"/>
      <c r="U23" s="1515"/>
      <c r="V23" s="1515"/>
      <c r="W23" s="1515"/>
      <c r="X23" s="1515"/>
      <c r="Y23" s="1515"/>
      <c r="Z23" s="1515"/>
      <c r="AA23" s="1515"/>
      <c r="AB23" s="1515"/>
      <c r="AC23" s="1515"/>
      <c r="AD23" s="1515"/>
      <c r="AE23" s="1515"/>
      <c r="AF23" s="1515"/>
      <c r="AG23" s="1515"/>
      <c r="AH23" s="1515"/>
      <c r="AI23" s="1515"/>
      <c r="AJ23" s="1515"/>
      <c r="AK23" s="1515"/>
      <c r="AL23" s="1"/>
    </row>
    <row r="24" spans="1:38">
      <c r="A24" s="283"/>
      <c r="B24" s="1"/>
      <c r="C24" s="358"/>
      <c r="D24" s="1515"/>
      <c r="E24" s="1515"/>
      <c r="F24" s="1515"/>
      <c r="G24" s="1515"/>
      <c r="H24" s="1515"/>
      <c r="I24" s="1515"/>
      <c r="J24" s="1515"/>
      <c r="K24" s="1515"/>
      <c r="L24" s="1515"/>
      <c r="M24" s="1515"/>
      <c r="N24" s="1515"/>
      <c r="O24" s="1515"/>
      <c r="P24" s="1515"/>
      <c r="Q24" s="1515"/>
      <c r="R24" s="1515"/>
      <c r="S24" s="1515"/>
      <c r="T24" s="1515"/>
      <c r="U24" s="1515"/>
      <c r="V24" s="1515"/>
      <c r="W24" s="1515"/>
      <c r="X24" s="1515"/>
      <c r="Y24" s="1515"/>
      <c r="Z24" s="1515"/>
      <c r="AA24" s="1515"/>
      <c r="AB24" s="1515"/>
      <c r="AC24" s="1515"/>
      <c r="AD24" s="1515"/>
      <c r="AE24" s="1515"/>
      <c r="AF24" s="1515"/>
      <c r="AG24" s="1515"/>
      <c r="AH24" s="1515"/>
      <c r="AI24" s="1515"/>
      <c r="AJ24" s="1515"/>
      <c r="AK24" s="1515"/>
      <c r="AL24" s="1"/>
    </row>
    <row r="25" spans="1:38">
      <c r="A25" s="283"/>
      <c r="B25" s="1"/>
      <c r="C25" s="358"/>
      <c r="D25" s="1515"/>
      <c r="E25" s="1515"/>
      <c r="F25" s="1515"/>
      <c r="G25" s="1515"/>
      <c r="H25" s="1515"/>
      <c r="I25" s="1515"/>
      <c r="J25" s="1515"/>
      <c r="K25" s="1515"/>
      <c r="L25" s="1515"/>
      <c r="M25" s="1515"/>
      <c r="N25" s="1515"/>
      <c r="O25" s="1515"/>
      <c r="P25" s="1515"/>
      <c r="Q25" s="1515"/>
      <c r="R25" s="1515"/>
      <c r="S25" s="1515"/>
      <c r="T25" s="1515"/>
      <c r="U25" s="1515"/>
      <c r="V25" s="1515"/>
      <c r="W25" s="1515"/>
      <c r="X25" s="1515"/>
      <c r="Y25" s="1515"/>
      <c r="Z25" s="1515"/>
      <c r="AA25" s="1515"/>
      <c r="AB25" s="1515"/>
      <c r="AC25" s="1515"/>
      <c r="AD25" s="1515"/>
      <c r="AE25" s="1515"/>
      <c r="AF25" s="1515"/>
      <c r="AG25" s="1515"/>
      <c r="AH25" s="1515"/>
      <c r="AI25" s="1515"/>
      <c r="AJ25" s="1515"/>
      <c r="AK25" s="1515"/>
      <c r="AL25" s="1"/>
    </row>
    <row r="26" spans="1:38">
      <c r="A26" s="283"/>
      <c r="B26" s="1"/>
      <c r="C26" s="358"/>
      <c r="D26" s="288"/>
      <c r="E26" s="1517" t="s">
        <v>2326</v>
      </c>
      <c r="F26" s="1517"/>
      <c r="G26" s="1517"/>
      <c r="H26" s="1517"/>
      <c r="I26" s="1517"/>
      <c r="J26" s="1517"/>
      <c r="K26" s="1517"/>
      <c r="L26" s="1517"/>
      <c r="M26" s="1517"/>
      <c r="N26" s="1517"/>
      <c r="O26" s="1517"/>
      <c r="P26" s="1517"/>
      <c r="Q26" s="1517"/>
      <c r="R26" s="1517"/>
      <c r="S26" s="1517"/>
      <c r="T26" s="1517"/>
      <c r="U26" s="1517"/>
      <c r="V26" s="1517"/>
      <c r="W26" s="1517"/>
      <c r="X26" s="1517"/>
      <c r="Y26" s="1517"/>
      <c r="Z26" s="1517"/>
      <c r="AA26" s="1517"/>
      <c r="AB26" s="1517"/>
      <c r="AC26" s="1517"/>
      <c r="AD26" s="1517"/>
      <c r="AE26" s="1517"/>
      <c r="AF26" s="1517"/>
      <c r="AG26" s="1517"/>
      <c r="AH26" s="1517"/>
      <c r="AI26" s="1517"/>
      <c r="AJ26" s="1517"/>
      <c r="AK26" s="1517"/>
      <c r="AL26" s="1"/>
    </row>
    <row r="27" spans="1:38">
      <c r="A27" s="283"/>
      <c r="B27" s="1"/>
      <c r="C27" s="358"/>
      <c r="D27" s="272"/>
      <c r="E27" s="1517" t="s">
        <v>2047</v>
      </c>
      <c r="F27" s="1517"/>
      <c r="G27" s="1517"/>
      <c r="H27" s="1517"/>
      <c r="I27" s="1517"/>
      <c r="J27" s="1517"/>
      <c r="K27" s="1517"/>
      <c r="L27" s="1517"/>
      <c r="M27" s="1517"/>
      <c r="N27" s="1517"/>
      <c r="O27" s="1517"/>
      <c r="P27" s="1517"/>
      <c r="Q27" s="1517"/>
      <c r="R27" s="1517"/>
      <c r="S27" s="1517"/>
      <c r="T27" s="1517"/>
      <c r="U27" s="1517"/>
      <c r="V27" s="1517"/>
      <c r="W27" s="1517"/>
      <c r="X27" s="1517"/>
      <c r="Y27" s="1517"/>
      <c r="Z27" s="1517"/>
      <c r="AA27" s="1517"/>
      <c r="AB27" s="1517"/>
      <c r="AC27" s="1517"/>
      <c r="AD27" s="1517"/>
      <c r="AE27" s="1517"/>
      <c r="AF27" s="1517"/>
      <c r="AG27" s="1517"/>
      <c r="AH27" s="1517"/>
      <c r="AI27" s="1517"/>
      <c r="AJ27" s="1517"/>
      <c r="AK27" s="1517"/>
      <c r="AL27" s="1"/>
    </row>
    <row r="28" spans="1:38">
      <c r="A28" s="283"/>
      <c r="B28" s="1"/>
      <c r="C28" s="358"/>
      <c r="D28" s="1"/>
      <c r="E28" s="283"/>
      <c r="F28" s="283"/>
      <c r="G28" s="283"/>
      <c r="H28" s="283"/>
      <c r="I28" s="283"/>
      <c r="J28" s="283"/>
      <c r="K28" s="283"/>
      <c r="L28" s="283"/>
      <c r="M28" s="283"/>
      <c r="N28" s="283"/>
      <c r="O28" s="283"/>
      <c r="P28" s="283"/>
      <c r="Q28" s="283"/>
      <c r="R28" s="283"/>
      <c r="S28" s="283"/>
      <c r="T28" s="283"/>
      <c r="U28" s="283"/>
      <c r="V28" s="283"/>
      <c r="W28" s="283"/>
      <c r="X28" s="283"/>
      <c r="Y28" s="283"/>
      <c r="Z28" s="283"/>
      <c r="AA28" s="283"/>
      <c r="AB28" s="283"/>
      <c r="AC28" s="1"/>
      <c r="AD28" s="1"/>
      <c r="AE28" s="1"/>
      <c r="AF28" s="1"/>
      <c r="AG28" s="1"/>
      <c r="AH28" s="1"/>
      <c r="AI28" s="1"/>
      <c r="AJ28" s="1"/>
      <c r="AK28" s="1"/>
      <c r="AL28" s="1"/>
    </row>
    <row r="29" spans="1:38" s="288" customFormat="1">
      <c r="A29" s="283"/>
      <c r="B29" s="1"/>
      <c r="C29" s="1"/>
      <c r="D29" s="1516" t="s">
        <v>2322</v>
      </c>
      <c r="E29" s="1516"/>
      <c r="F29" s="1516"/>
      <c r="G29" s="1516"/>
      <c r="H29" s="1516"/>
      <c r="I29" s="1516"/>
      <c r="J29" s="1516"/>
      <c r="K29" s="1516"/>
      <c r="L29" s="1516"/>
      <c r="M29" s="1516"/>
      <c r="N29" s="1516"/>
      <c r="O29" s="1516"/>
      <c r="P29" s="1516"/>
      <c r="Q29" s="1516"/>
      <c r="R29" s="1516"/>
      <c r="S29" s="1516"/>
      <c r="T29" s="1516"/>
      <c r="U29" s="1516"/>
      <c r="V29" s="1516"/>
      <c r="W29" s="1516"/>
      <c r="X29" s="1516"/>
      <c r="Y29" s="1516"/>
      <c r="Z29" s="1516"/>
      <c r="AA29" s="1516"/>
      <c r="AB29" s="1516"/>
      <c r="AC29" s="1516"/>
      <c r="AD29" s="1516"/>
      <c r="AE29" s="1516"/>
      <c r="AF29" s="1516"/>
      <c r="AG29" s="1516"/>
      <c r="AH29" s="1516"/>
      <c r="AI29" s="1516"/>
      <c r="AJ29" s="1516"/>
      <c r="AK29" s="1516"/>
      <c r="AL29" s="1"/>
    </row>
    <row r="30" spans="1:38">
      <c r="A30" s="283"/>
      <c r="B30" s="1"/>
      <c r="C30" s="1"/>
      <c r="D30" s="1516"/>
      <c r="E30" s="1516"/>
      <c r="F30" s="1516"/>
      <c r="G30" s="1516"/>
      <c r="H30" s="1516"/>
      <c r="I30" s="1516"/>
      <c r="J30" s="1516"/>
      <c r="K30" s="1516"/>
      <c r="L30" s="1516"/>
      <c r="M30" s="1516"/>
      <c r="N30" s="1516"/>
      <c r="O30" s="1516"/>
      <c r="P30" s="1516"/>
      <c r="Q30" s="1516"/>
      <c r="R30" s="1516"/>
      <c r="S30" s="1516"/>
      <c r="T30" s="1516"/>
      <c r="U30" s="1516"/>
      <c r="V30" s="1516"/>
      <c r="W30" s="1516"/>
      <c r="X30" s="1516"/>
      <c r="Y30" s="1516"/>
      <c r="Z30" s="1516"/>
      <c r="AA30" s="1516"/>
      <c r="AB30" s="1516"/>
      <c r="AC30" s="1516"/>
      <c r="AD30" s="1516"/>
      <c r="AE30" s="1516"/>
      <c r="AF30" s="1516"/>
      <c r="AG30" s="1516"/>
      <c r="AH30" s="1516"/>
      <c r="AI30" s="1516"/>
      <c r="AJ30" s="1516"/>
      <c r="AK30" s="1516"/>
      <c r="AL30" s="1"/>
    </row>
    <row r="31" spans="1:38">
      <c r="A31" s="283"/>
      <c r="B31" s="1"/>
      <c r="C31" s="1"/>
      <c r="D31" s="1070"/>
      <c r="E31" s="1518" t="s">
        <v>1424</v>
      </c>
      <c r="F31" s="1518"/>
      <c r="G31" s="1518"/>
      <c r="H31" s="1518"/>
      <c r="I31" s="1518"/>
      <c r="J31" s="1518"/>
      <c r="K31" s="1518"/>
      <c r="L31" s="1518"/>
      <c r="M31" s="1518"/>
      <c r="N31" s="1518"/>
      <c r="O31" s="1518"/>
      <c r="P31" s="1518"/>
      <c r="Q31" s="1518"/>
      <c r="R31" s="1518"/>
      <c r="S31" s="1518"/>
      <c r="T31" s="1518"/>
      <c r="U31" s="1518"/>
      <c r="V31" s="1518"/>
      <c r="W31" s="1518"/>
      <c r="X31" s="1518"/>
      <c r="Y31" s="1518"/>
      <c r="Z31" s="1518"/>
      <c r="AA31" s="1518"/>
      <c r="AB31" s="1518"/>
      <c r="AC31" s="1518"/>
      <c r="AD31" s="1518"/>
      <c r="AE31" s="1518"/>
      <c r="AF31" s="1518"/>
      <c r="AG31" s="1518"/>
      <c r="AH31" s="1518"/>
      <c r="AI31" s="1518"/>
      <c r="AJ31" s="1518"/>
      <c r="AK31" s="1518"/>
      <c r="AL31" s="1"/>
    </row>
    <row r="32" spans="1:38">
      <c r="A32" s="283"/>
      <c r="B32" s="1"/>
      <c r="C32" s="1"/>
      <c r="D32" s="1070"/>
      <c r="E32" s="1518" t="s">
        <v>1266</v>
      </c>
      <c r="F32" s="1518"/>
      <c r="G32" s="1518"/>
      <c r="H32" s="1518"/>
      <c r="I32" s="1518"/>
      <c r="J32" s="1518"/>
      <c r="K32" s="1518"/>
      <c r="L32" s="1518"/>
      <c r="M32" s="1518"/>
      <c r="N32" s="1518"/>
      <c r="O32" s="1518"/>
      <c r="P32" s="1518"/>
      <c r="Q32" s="1518"/>
      <c r="R32" s="1518"/>
      <c r="S32" s="1518"/>
      <c r="T32" s="1518"/>
      <c r="U32" s="1518"/>
      <c r="V32" s="1518"/>
      <c r="W32" s="1518"/>
      <c r="X32" s="1518"/>
      <c r="Y32" s="1518"/>
      <c r="Z32" s="1518"/>
      <c r="AA32" s="1518"/>
      <c r="AB32" s="1518"/>
      <c r="AC32" s="1518"/>
      <c r="AD32" s="1518"/>
      <c r="AE32" s="1518"/>
      <c r="AF32" s="1518"/>
      <c r="AG32" s="1518"/>
      <c r="AH32" s="1518"/>
      <c r="AI32" s="1518"/>
      <c r="AJ32" s="1518"/>
      <c r="AK32" s="1518"/>
      <c r="AL32" s="1"/>
    </row>
    <row r="33" spans="1:38">
      <c r="A33" s="283"/>
      <c r="B33" s="1"/>
      <c r="C33" s="358"/>
      <c r="D33" s="358"/>
      <c r="E33" s="283"/>
      <c r="F33" s="283"/>
      <c r="G33" s="283"/>
      <c r="H33" s="283"/>
      <c r="I33" s="283"/>
      <c r="J33" s="283"/>
      <c r="K33" s="283"/>
      <c r="L33" s="283"/>
      <c r="M33" s="283"/>
      <c r="N33" s="283"/>
      <c r="O33" s="283"/>
      <c r="P33" s="283"/>
      <c r="Q33" s="283"/>
      <c r="R33" s="283"/>
      <c r="S33" s="283"/>
      <c r="T33" s="283"/>
      <c r="U33" s="283"/>
      <c r="V33" s="283"/>
      <c r="W33" s="283"/>
      <c r="X33" s="283"/>
      <c r="Y33" s="283"/>
      <c r="Z33" s="283"/>
      <c r="AA33" s="283"/>
      <c r="AB33" s="283"/>
      <c r="AC33" s="1"/>
      <c r="AD33" s="1"/>
      <c r="AE33" s="1"/>
      <c r="AF33" s="1"/>
      <c r="AG33" s="1"/>
      <c r="AH33" s="1"/>
      <c r="AI33" s="1"/>
      <c r="AJ33" s="1"/>
      <c r="AK33" s="1"/>
      <c r="AL33" s="1"/>
    </row>
    <row r="34" spans="1:38">
      <c r="A34" s="283"/>
      <c r="B34" s="1"/>
      <c r="C34" s="358" t="s">
        <v>514</v>
      </c>
      <c r="D34" s="358" t="s">
        <v>374</v>
      </c>
      <c r="E34" s="1"/>
      <c r="F34" s="283"/>
      <c r="G34" s="283"/>
      <c r="H34" s="283"/>
      <c r="I34" s="283"/>
      <c r="J34" s="283"/>
      <c r="K34" s="283"/>
      <c r="L34" s="283"/>
      <c r="M34" s="283"/>
      <c r="N34" s="283"/>
      <c r="O34" s="283"/>
      <c r="P34" s="283"/>
      <c r="Q34" s="283"/>
      <c r="R34" s="283"/>
      <c r="S34" s="283"/>
      <c r="T34" s="283"/>
      <c r="U34" s="283"/>
      <c r="V34" s="283"/>
      <c r="W34" s="283"/>
      <c r="X34" s="283"/>
      <c r="Y34" s="283"/>
      <c r="Z34" s="283"/>
      <c r="AA34" s="283"/>
      <c r="AB34" s="283"/>
      <c r="AC34" s="1"/>
      <c r="AD34" s="1"/>
      <c r="AE34" s="1"/>
      <c r="AF34" s="1"/>
      <c r="AG34" s="1"/>
      <c r="AH34" s="1"/>
      <c r="AI34" s="1"/>
      <c r="AJ34" s="1"/>
      <c r="AK34" s="1"/>
      <c r="AL34" s="1"/>
    </row>
    <row r="35" spans="1:38">
      <c r="A35" s="283"/>
      <c r="B35" s="283"/>
      <c r="C35" s="283"/>
      <c r="D35" s="302" t="s">
        <v>1004</v>
      </c>
      <c r="E35" s="283" t="s">
        <v>373</v>
      </c>
      <c r="F35" s="283"/>
      <c r="G35" s="283"/>
      <c r="H35" s="283"/>
      <c r="I35" s="283"/>
      <c r="J35" s="283"/>
      <c r="K35" s="283"/>
      <c r="L35" s="283"/>
      <c r="M35" s="283"/>
      <c r="N35" s="283"/>
      <c r="O35" s="283"/>
      <c r="P35" s="283"/>
      <c r="Q35" s="283"/>
      <c r="R35" s="283"/>
      <c r="S35" s="283"/>
      <c r="T35" s="283"/>
      <c r="U35" s="283"/>
      <c r="V35" s="283"/>
      <c r="W35" s="283"/>
      <c r="X35" s="283"/>
      <c r="Y35" s="283"/>
      <c r="Z35" s="283"/>
      <c r="AA35" s="283"/>
      <c r="AB35" s="283"/>
      <c r="AC35" s="283"/>
      <c r="AD35" s="283"/>
      <c r="AE35" s="283"/>
      <c r="AF35" s="283"/>
      <c r="AG35" s="283"/>
      <c r="AH35" s="283"/>
      <c r="AI35" s="283"/>
      <c r="AJ35" s="283"/>
      <c r="AK35" s="283"/>
      <c r="AL35" s="283"/>
    </row>
    <row r="36" spans="1:38">
      <c r="A36" s="283"/>
      <c r="B36" s="1"/>
      <c r="C36" s="358"/>
      <c r="D36" s="283"/>
      <c r="E36" s="289" t="s">
        <v>1903</v>
      </c>
      <c r="F36" s="1515" t="s">
        <v>1904</v>
      </c>
      <c r="G36" s="1515"/>
      <c r="H36" s="1515"/>
      <c r="I36" s="1515"/>
      <c r="J36" s="1515"/>
      <c r="K36" s="1515"/>
      <c r="L36" s="1515"/>
      <c r="M36" s="1515"/>
      <c r="N36" s="1515"/>
      <c r="O36" s="1515"/>
      <c r="P36" s="1515"/>
      <c r="Q36" s="1515"/>
      <c r="R36" s="1515"/>
      <c r="S36" s="1515"/>
      <c r="T36" s="1515"/>
      <c r="U36" s="1515"/>
      <c r="V36" s="1515"/>
      <c r="W36" s="1515"/>
      <c r="X36" s="1515"/>
      <c r="Y36" s="1515"/>
      <c r="Z36" s="1515"/>
      <c r="AA36" s="1515"/>
      <c r="AB36" s="1515"/>
      <c r="AC36" s="1515"/>
      <c r="AD36" s="1515"/>
      <c r="AE36" s="1515"/>
      <c r="AF36" s="1515"/>
      <c r="AG36" s="1515"/>
      <c r="AH36" s="1515"/>
      <c r="AI36" s="1515"/>
      <c r="AJ36" s="1515"/>
      <c r="AK36" s="1515"/>
      <c r="AL36" s="1"/>
    </row>
    <row r="37" spans="1:38">
      <c r="A37" s="283"/>
      <c r="B37" s="1"/>
      <c r="C37" s="358"/>
      <c r="D37" s="283"/>
      <c r="E37" s="283"/>
      <c r="F37" s="1515"/>
      <c r="G37" s="1515"/>
      <c r="H37" s="1515"/>
      <c r="I37" s="1515"/>
      <c r="J37" s="1515"/>
      <c r="K37" s="1515"/>
      <c r="L37" s="1515"/>
      <c r="M37" s="1515"/>
      <c r="N37" s="1515"/>
      <c r="O37" s="1515"/>
      <c r="P37" s="1515"/>
      <c r="Q37" s="1515"/>
      <c r="R37" s="1515"/>
      <c r="S37" s="1515"/>
      <c r="T37" s="1515"/>
      <c r="U37" s="1515"/>
      <c r="V37" s="1515"/>
      <c r="W37" s="1515"/>
      <c r="X37" s="1515"/>
      <c r="Y37" s="1515"/>
      <c r="Z37" s="1515"/>
      <c r="AA37" s="1515"/>
      <c r="AB37" s="1515"/>
      <c r="AC37" s="1515"/>
      <c r="AD37" s="1515"/>
      <c r="AE37" s="1515"/>
      <c r="AF37" s="1515"/>
      <c r="AG37" s="1515"/>
      <c r="AH37" s="1515"/>
      <c r="AI37" s="1515"/>
      <c r="AJ37" s="1515"/>
      <c r="AK37" s="1515"/>
      <c r="AL37" s="1"/>
    </row>
    <row r="38" spans="1:38">
      <c r="A38" s="283"/>
      <c r="B38" s="1"/>
      <c r="C38" s="358"/>
      <c r="D38" s="283"/>
      <c r="E38" s="283"/>
      <c r="F38" s="1063" t="s">
        <v>641</v>
      </c>
      <c r="G38" s="283" t="s">
        <v>989</v>
      </c>
      <c r="H38" s="1"/>
      <c r="I38" s="283"/>
      <c r="J38" s="283"/>
      <c r="K38" s="283"/>
      <c r="L38" s="283"/>
      <c r="M38" s="1"/>
      <c r="N38" s="1"/>
      <c r="O38" s="283"/>
      <c r="P38" s="283"/>
      <c r="Q38" s="283"/>
      <c r="R38" s="283"/>
      <c r="S38" s="283"/>
      <c r="T38" s="283"/>
      <c r="U38" s="283"/>
      <c r="V38" s="283"/>
      <c r="W38" s="283"/>
      <c r="X38" s="283"/>
      <c r="Y38" s="283"/>
      <c r="Z38" s="283"/>
      <c r="AA38" s="283"/>
      <c r="AB38" s="283"/>
      <c r="AC38" s="1"/>
      <c r="AD38" s="1"/>
      <c r="AE38" s="1"/>
      <c r="AF38" s="1"/>
      <c r="AG38" s="1"/>
      <c r="AH38" s="1"/>
      <c r="AI38" s="1"/>
      <c r="AJ38" s="1"/>
      <c r="AK38" s="1"/>
      <c r="AL38" s="1"/>
    </row>
    <row r="39" spans="1:38">
      <c r="A39" s="283"/>
      <c r="B39" s="1"/>
      <c r="C39" s="358"/>
      <c r="D39" s="283"/>
      <c r="E39" s="283" t="s">
        <v>79</v>
      </c>
      <c r="F39" s="289" t="s">
        <v>2134</v>
      </c>
      <c r="G39" s="283"/>
      <c r="H39" s="283"/>
      <c r="I39" s="283"/>
      <c r="J39" s="283"/>
      <c r="K39" s="283"/>
      <c r="L39" s="283"/>
      <c r="M39" s="1"/>
      <c r="N39" s="1"/>
      <c r="O39" s="283"/>
      <c r="P39" s="283"/>
      <c r="Q39" s="283"/>
      <c r="R39" s="283"/>
      <c r="S39" s="283"/>
      <c r="T39" s="283"/>
      <c r="U39" s="283"/>
      <c r="V39" s="283"/>
      <c r="W39" s="283"/>
      <c r="X39" s="283"/>
      <c r="Y39" s="283"/>
      <c r="Z39" s="283"/>
      <c r="AA39" s="283"/>
      <c r="AB39" s="283"/>
      <c r="AC39" s="1"/>
      <c r="AD39" s="1"/>
      <c r="AE39" s="1"/>
      <c r="AF39" s="1"/>
      <c r="AG39" s="1"/>
      <c r="AH39" s="1"/>
      <c r="AI39" s="1"/>
      <c r="AJ39" s="1"/>
      <c r="AK39" s="1"/>
      <c r="AL39" s="1"/>
    </row>
    <row r="40" spans="1:38">
      <c r="A40" s="283"/>
      <c r="B40" s="1"/>
      <c r="C40" s="358"/>
      <c r="D40" s="283"/>
      <c r="E40" s="283"/>
      <c r="F40" s="1063" t="s">
        <v>641</v>
      </c>
      <c r="G40" s="358" t="s">
        <v>990</v>
      </c>
      <c r="H40" s="1"/>
      <c r="I40" s="283"/>
      <c r="J40" s="283"/>
      <c r="K40" s="283"/>
      <c r="L40" s="283"/>
      <c r="M40" s="1"/>
      <c r="N40" s="1"/>
      <c r="O40" s="283"/>
      <c r="P40" s="283"/>
      <c r="Q40" s="283"/>
      <c r="R40" s="283"/>
      <c r="S40" s="283"/>
      <c r="T40" s="283"/>
      <c r="U40" s="283"/>
      <c r="V40" s="283"/>
      <c r="W40" s="283"/>
      <c r="X40" s="283"/>
      <c r="Y40" s="283"/>
      <c r="Z40" s="283"/>
      <c r="AA40" s="283"/>
      <c r="AB40" s="283"/>
      <c r="AC40" s="1"/>
      <c r="AD40" s="1"/>
      <c r="AE40" s="1"/>
      <c r="AF40" s="1"/>
      <c r="AG40" s="1"/>
      <c r="AH40" s="1"/>
      <c r="AI40" s="1"/>
      <c r="AJ40" s="1"/>
      <c r="AK40" s="1"/>
      <c r="AL40" s="1"/>
    </row>
    <row r="41" spans="1:38">
      <c r="A41" s="283"/>
      <c r="B41" s="1"/>
      <c r="C41" s="358"/>
      <c r="D41" s="283"/>
      <c r="E41" s="283"/>
      <c r="F41" s="1063" t="s">
        <v>214</v>
      </c>
      <c r="G41" s="283" t="s">
        <v>647</v>
      </c>
      <c r="H41" s="1"/>
      <c r="I41" s="283"/>
      <c r="J41" s="283"/>
      <c r="K41" s="283"/>
      <c r="L41" s="283"/>
      <c r="M41" s="1"/>
      <c r="N41" s="1"/>
      <c r="O41" s="283"/>
      <c r="P41" s="283"/>
      <c r="Q41" s="283"/>
      <c r="R41" s="283"/>
      <c r="S41" s="283"/>
      <c r="T41" s="283"/>
      <c r="U41" s="283"/>
      <c r="V41" s="283"/>
      <c r="W41" s="283"/>
      <c r="X41" s="283"/>
      <c r="Y41" s="283"/>
      <c r="Z41" s="283"/>
      <c r="AA41" s="283"/>
      <c r="AB41" s="283"/>
      <c r="AC41" s="1"/>
      <c r="AD41" s="1"/>
      <c r="AE41" s="1"/>
      <c r="AF41" s="1"/>
      <c r="AG41" s="1"/>
      <c r="AH41" s="1"/>
      <c r="AI41" s="1"/>
      <c r="AJ41" s="1"/>
      <c r="AK41" s="1"/>
      <c r="AL41" s="1"/>
    </row>
    <row r="42" spans="1:38" ht="13.65" customHeight="1">
      <c r="A42" s="283"/>
      <c r="B42" s="1"/>
      <c r="C42" s="358"/>
      <c r="D42" s="283"/>
      <c r="E42" s="283" t="s">
        <v>594</v>
      </c>
      <c r="F42" s="1515" t="s">
        <v>2135</v>
      </c>
      <c r="G42" s="1515"/>
      <c r="H42" s="1515"/>
      <c r="I42" s="1515"/>
      <c r="J42" s="1515"/>
      <c r="K42" s="1515"/>
      <c r="L42" s="1515"/>
      <c r="M42" s="1515"/>
      <c r="N42" s="1515"/>
      <c r="O42" s="1515"/>
      <c r="P42" s="1515"/>
      <c r="Q42" s="1515"/>
      <c r="R42" s="1515"/>
      <c r="S42" s="1515"/>
      <c r="T42" s="1515"/>
      <c r="U42" s="1515"/>
      <c r="V42" s="1515"/>
      <c r="W42" s="1515"/>
      <c r="X42" s="1515"/>
      <c r="Y42" s="1515"/>
      <c r="Z42" s="1515"/>
      <c r="AA42" s="1515"/>
      <c r="AB42" s="1515"/>
      <c r="AC42" s="1515"/>
      <c r="AD42" s="1515"/>
      <c r="AE42" s="1515"/>
      <c r="AF42" s="1515"/>
      <c r="AG42" s="1515"/>
      <c r="AH42" s="1515"/>
      <c r="AI42" s="1515"/>
      <c r="AJ42" s="1515"/>
      <c r="AK42" s="1515"/>
      <c r="AL42" s="1"/>
    </row>
    <row r="43" spans="1:38">
      <c r="A43" s="283"/>
      <c r="B43" s="1"/>
      <c r="C43" s="358"/>
      <c r="D43" s="283"/>
      <c r="E43" s="283"/>
      <c r="F43" s="1515"/>
      <c r="G43" s="1515"/>
      <c r="H43" s="1515"/>
      <c r="I43" s="1515"/>
      <c r="J43" s="1515"/>
      <c r="K43" s="1515"/>
      <c r="L43" s="1515"/>
      <c r="M43" s="1515"/>
      <c r="N43" s="1515"/>
      <c r="O43" s="1515"/>
      <c r="P43" s="1515"/>
      <c r="Q43" s="1515"/>
      <c r="R43" s="1515"/>
      <c r="S43" s="1515"/>
      <c r="T43" s="1515"/>
      <c r="U43" s="1515"/>
      <c r="V43" s="1515"/>
      <c r="W43" s="1515"/>
      <c r="X43" s="1515"/>
      <c r="Y43" s="1515"/>
      <c r="Z43" s="1515"/>
      <c r="AA43" s="1515"/>
      <c r="AB43" s="1515"/>
      <c r="AC43" s="1515"/>
      <c r="AD43" s="1515"/>
      <c r="AE43" s="1515"/>
      <c r="AF43" s="1515"/>
      <c r="AG43" s="1515"/>
      <c r="AH43" s="1515"/>
      <c r="AI43" s="1515"/>
      <c r="AJ43" s="1515"/>
      <c r="AK43" s="1515"/>
      <c r="AL43" s="1"/>
    </row>
    <row r="44" spans="1:38">
      <c r="A44" s="283"/>
      <c r="B44" s="1"/>
      <c r="C44" s="358"/>
      <c r="D44" s="283"/>
      <c r="E44" s="283"/>
      <c r="F44" s="1515"/>
      <c r="G44" s="1515"/>
      <c r="H44" s="1515"/>
      <c r="I44" s="1515"/>
      <c r="J44" s="1515"/>
      <c r="K44" s="1515"/>
      <c r="L44" s="1515"/>
      <c r="M44" s="1515"/>
      <c r="N44" s="1515"/>
      <c r="O44" s="1515"/>
      <c r="P44" s="1515"/>
      <c r="Q44" s="1515"/>
      <c r="R44" s="1515"/>
      <c r="S44" s="1515"/>
      <c r="T44" s="1515"/>
      <c r="U44" s="1515"/>
      <c r="V44" s="1515"/>
      <c r="W44" s="1515"/>
      <c r="X44" s="1515"/>
      <c r="Y44" s="1515"/>
      <c r="Z44" s="1515"/>
      <c r="AA44" s="1515"/>
      <c r="AB44" s="1515"/>
      <c r="AC44" s="1515"/>
      <c r="AD44" s="1515"/>
      <c r="AE44" s="1515"/>
      <c r="AF44" s="1515"/>
      <c r="AG44" s="1515"/>
      <c r="AH44" s="1515"/>
      <c r="AI44" s="1515"/>
      <c r="AJ44" s="1515"/>
      <c r="AK44" s="1515"/>
      <c r="AL44" s="1"/>
    </row>
    <row r="45" spans="1:38">
      <c r="A45" s="283"/>
      <c r="B45" s="1"/>
      <c r="C45" s="358"/>
      <c r="D45" s="283"/>
      <c r="E45" s="283"/>
      <c r="F45" s="283"/>
      <c r="G45" s="283"/>
      <c r="H45" s="283"/>
      <c r="I45" s="283"/>
      <c r="J45" s="283"/>
      <c r="K45" s="283"/>
      <c r="L45" s="283"/>
      <c r="M45" s="283"/>
      <c r="N45" s="283"/>
      <c r="O45" s="283"/>
      <c r="P45" s="283"/>
      <c r="Q45" s="283"/>
      <c r="R45" s="283"/>
      <c r="S45" s="283"/>
      <c r="T45" s="283"/>
      <c r="U45" s="283"/>
      <c r="V45" s="283"/>
      <c r="W45" s="283"/>
      <c r="X45" s="283"/>
      <c r="Y45" s="283"/>
      <c r="Z45" s="283"/>
      <c r="AA45" s="283"/>
      <c r="AB45" s="283"/>
      <c r="AC45" s="1"/>
      <c r="AD45" s="1"/>
      <c r="AE45" s="289"/>
      <c r="AF45" s="1"/>
      <c r="AG45" s="1"/>
      <c r="AH45" s="1"/>
      <c r="AI45" s="1"/>
      <c r="AJ45" s="1"/>
      <c r="AK45" s="1"/>
      <c r="AL45" s="1"/>
    </row>
    <row r="46" spans="1:38">
      <c r="A46" s="283"/>
      <c r="B46" s="1"/>
      <c r="C46" s="358"/>
      <c r="D46" s="283" t="s">
        <v>1005</v>
      </c>
      <c r="E46" s="283" t="s">
        <v>791</v>
      </c>
      <c r="F46" s="283"/>
      <c r="G46" s="283"/>
      <c r="H46" s="283"/>
      <c r="I46" s="283"/>
      <c r="J46" s="1071"/>
      <c r="K46" s="1071"/>
      <c r="L46" s="1071"/>
      <c r="M46" s="1071"/>
      <c r="N46" s="1071"/>
      <c r="O46" s="1067"/>
      <c r="P46" s="1067"/>
      <c r="Q46" s="1067"/>
      <c r="R46" s="1067"/>
      <c r="S46" s="1067"/>
      <c r="T46" s="1067"/>
      <c r="U46" s="1067"/>
      <c r="V46" s="1067"/>
      <c r="W46" s="1067"/>
      <c r="X46" s="1067"/>
      <c r="Y46" s="1067"/>
      <c r="Z46" s="1067"/>
      <c r="AA46" s="1067"/>
      <c r="AB46" s="1067"/>
      <c r="AC46" s="1067"/>
      <c r="AD46" s="1067"/>
      <c r="AE46" s="1067"/>
      <c r="AF46" s="1067"/>
      <c r="AG46" s="358"/>
      <c r="AH46" s="1"/>
      <c r="AI46" s="1"/>
      <c r="AJ46" s="1"/>
      <c r="AK46" s="1"/>
      <c r="AL46" s="1"/>
    </row>
    <row r="47" spans="1:38">
      <c r="A47" s="283"/>
      <c r="B47" s="1"/>
      <c r="C47" s="358"/>
      <c r="D47" s="358"/>
      <c r="E47" s="283" t="s">
        <v>903</v>
      </c>
      <c r="F47" s="1" t="s">
        <v>838</v>
      </c>
      <c r="G47" s="358"/>
      <c r="H47" s="1067"/>
      <c r="I47" s="1067"/>
      <c r="J47" s="1"/>
      <c r="K47" s="1"/>
      <c r="L47" s="1067"/>
      <c r="M47" s="1067"/>
      <c r="N47" s="1067"/>
      <c r="O47" s="1067"/>
      <c r="P47" s="1067"/>
      <c r="Q47" s="1067"/>
      <c r="R47" s="1067"/>
      <c r="S47" s="1067"/>
      <c r="T47" s="1067"/>
      <c r="U47" s="1067"/>
      <c r="V47" s="1067"/>
      <c r="W47" s="1067"/>
      <c r="X47" s="1067"/>
      <c r="Y47" s="1067"/>
      <c r="Z47" s="1067"/>
      <c r="AA47" s="1067"/>
      <c r="AB47" s="1067"/>
      <c r="AC47" s="1067"/>
      <c r="AD47" s="1067"/>
      <c r="AE47" s="1067"/>
      <c r="AF47" s="1067"/>
      <c r="AG47" s="358"/>
      <c r="AH47" s="1"/>
      <c r="AI47" s="1"/>
      <c r="AJ47" s="1"/>
      <c r="AK47" s="1"/>
      <c r="AL47" s="1"/>
    </row>
    <row r="48" spans="1:38">
      <c r="A48" s="283"/>
      <c r="B48" s="1"/>
      <c r="C48" s="358"/>
      <c r="D48" s="358"/>
      <c r="E48" s="283"/>
      <c r="F48" s="517" t="s">
        <v>641</v>
      </c>
      <c r="G48" s="1530" t="s">
        <v>2137</v>
      </c>
      <c r="H48" s="1530"/>
      <c r="I48" s="1530"/>
      <c r="J48" s="1530"/>
      <c r="K48" s="1530"/>
      <c r="L48" s="1530"/>
      <c r="M48" s="1530"/>
      <c r="N48" s="1530"/>
      <c r="O48" s="1530"/>
      <c r="P48" s="1530"/>
      <c r="Q48" s="1530"/>
      <c r="R48" s="1530"/>
      <c r="S48" s="1530"/>
      <c r="T48" s="1530"/>
      <c r="U48" s="1530"/>
      <c r="V48" s="1530"/>
      <c r="W48" s="1530"/>
      <c r="X48" s="1530"/>
      <c r="Y48" s="1530"/>
      <c r="Z48" s="1530"/>
      <c r="AA48" s="1530"/>
      <c r="AB48" s="1530"/>
      <c r="AC48" s="1530"/>
      <c r="AD48" s="1530"/>
      <c r="AE48" s="1530"/>
      <c r="AF48" s="1530"/>
      <c r="AG48" s="1530"/>
      <c r="AH48" s="1530"/>
      <c r="AI48" s="1530"/>
      <c r="AJ48" s="1530"/>
      <c r="AK48" s="1530"/>
      <c r="AL48" s="1"/>
    </row>
    <row r="49" spans="1:38">
      <c r="A49" s="283"/>
      <c r="B49" s="1"/>
      <c r="C49" s="358"/>
      <c r="D49" s="358"/>
      <c r="E49" s="283"/>
      <c r="F49" s="517"/>
      <c r="G49" s="1530"/>
      <c r="H49" s="1530"/>
      <c r="I49" s="1530"/>
      <c r="J49" s="1530"/>
      <c r="K49" s="1530"/>
      <c r="L49" s="1530"/>
      <c r="M49" s="1530"/>
      <c r="N49" s="1530"/>
      <c r="O49" s="1530"/>
      <c r="P49" s="1530"/>
      <c r="Q49" s="1530"/>
      <c r="R49" s="1530"/>
      <c r="S49" s="1530"/>
      <c r="T49" s="1530"/>
      <c r="U49" s="1530"/>
      <c r="V49" s="1530"/>
      <c r="W49" s="1530"/>
      <c r="X49" s="1530"/>
      <c r="Y49" s="1530"/>
      <c r="Z49" s="1530"/>
      <c r="AA49" s="1530"/>
      <c r="AB49" s="1530"/>
      <c r="AC49" s="1530"/>
      <c r="AD49" s="1530"/>
      <c r="AE49" s="1530"/>
      <c r="AF49" s="1530"/>
      <c r="AG49" s="1530"/>
      <c r="AH49" s="1530"/>
      <c r="AI49" s="1530"/>
      <c r="AJ49" s="1530"/>
      <c r="AK49" s="1530"/>
      <c r="AL49" s="1"/>
    </row>
    <row r="50" spans="1:38">
      <c r="A50" s="283"/>
      <c r="B50" s="1"/>
      <c r="C50" s="358"/>
      <c r="D50" s="358"/>
      <c r="E50" s="283"/>
      <c r="F50" s="517"/>
      <c r="G50" s="1530"/>
      <c r="H50" s="1530"/>
      <c r="I50" s="1530"/>
      <c r="J50" s="1530"/>
      <c r="K50" s="1530"/>
      <c r="L50" s="1530"/>
      <c r="M50" s="1530"/>
      <c r="N50" s="1530"/>
      <c r="O50" s="1530"/>
      <c r="P50" s="1530"/>
      <c r="Q50" s="1530"/>
      <c r="R50" s="1530"/>
      <c r="S50" s="1530"/>
      <c r="T50" s="1530"/>
      <c r="U50" s="1530"/>
      <c r="V50" s="1530"/>
      <c r="W50" s="1530"/>
      <c r="X50" s="1530"/>
      <c r="Y50" s="1530"/>
      <c r="Z50" s="1530"/>
      <c r="AA50" s="1530"/>
      <c r="AB50" s="1530"/>
      <c r="AC50" s="1530"/>
      <c r="AD50" s="1530"/>
      <c r="AE50" s="1530"/>
      <c r="AF50" s="1530"/>
      <c r="AG50" s="1530"/>
      <c r="AH50" s="1530"/>
      <c r="AI50" s="1530"/>
      <c r="AJ50" s="1530"/>
      <c r="AK50" s="1530"/>
      <c r="AL50" s="1"/>
    </row>
    <row r="51" spans="1:38">
      <c r="A51" s="283"/>
      <c r="B51" s="358"/>
      <c r="C51" s="358"/>
      <c r="D51" s="358"/>
      <c r="E51" s="283"/>
      <c r="F51" s="517" t="s">
        <v>214</v>
      </c>
      <c r="G51" s="1531" t="s">
        <v>1905</v>
      </c>
      <c r="H51" s="1531"/>
      <c r="I51" s="1531"/>
      <c r="J51" s="1531"/>
      <c r="K51" s="1531"/>
      <c r="L51" s="1531"/>
      <c r="M51" s="1531"/>
      <c r="N51" s="1531"/>
      <c r="O51" s="1531"/>
      <c r="P51" s="1531"/>
      <c r="Q51" s="1531"/>
      <c r="R51" s="1531"/>
      <c r="S51" s="1531"/>
      <c r="T51" s="1531"/>
      <c r="U51" s="1531"/>
      <c r="V51" s="1531"/>
      <c r="W51" s="1531"/>
      <c r="X51" s="1531"/>
      <c r="Y51" s="1531"/>
      <c r="Z51" s="1531"/>
      <c r="AA51" s="1531"/>
      <c r="AB51" s="1531"/>
      <c r="AC51" s="1531"/>
      <c r="AD51" s="1531"/>
      <c r="AE51" s="1531"/>
      <c r="AF51" s="1531"/>
      <c r="AG51" s="1531"/>
      <c r="AH51" s="1531"/>
      <c r="AI51" s="1531"/>
      <c r="AJ51" s="1531"/>
      <c r="AK51" s="1531"/>
      <c r="AL51" s="1"/>
    </row>
    <row r="52" spans="1:38" s="288" customFormat="1">
      <c r="A52" s="283"/>
      <c r="B52" s="1"/>
      <c r="C52" s="358"/>
      <c r="D52" s="358"/>
      <c r="E52" s="283"/>
      <c r="F52" s="517"/>
      <c r="G52" s="1531"/>
      <c r="H52" s="1531"/>
      <c r="I52" s="1531"/>
      <c r="J52" s="1531"/>
      <c r="K52" s="1531"/>
      <c r="L52" s="1531"/>
      <c r="M52" s="1531"/>
      <c r="N52" s="1531"/>
      <c r="O52" s="1531"/>
      <c r="P52" s="1531"/>
      <c r="Q52" s="1531"/>
      <c r="R52" s="1531"/>
      <c r="S52" s="1531"/>
      <c r="T52" s="1531"/>
      <c r="U52" s="1531"/>
      <c r="V52" s="1531"/>
      <c r="W52" s="1531"/>
      <c r="X52" s="1531"/>
      <c r="Y52" s="1531"/>
      <c r="Z52" s="1531"/>
      <c r="AA52" s="1531"/>
      <c r="AB52" s="1531"/>
      <c r="AC52" s="1531"/>
      <c r="AD52" s="1531"/>
      <c r="AE52" s="1531"/>
      <c r="AF52" s="1531"/>
      <c r="AG52" s="1531"/>
      <c r="AH52" s="1531"/>
      <c r="AI52" s="1531"/>
      <c r="AJ52" s="1531"/>
      <c r="AK52" s="1531"/>
      <c r="AL52" s="1"/>
    </row>
    <row r="53" spans="1:38">
      <c r="A53" s="288"/>
      <c r="B53" s="272"/>
      <c r="C53" s="359"/>
      <c r="D53" s="359"/>
      <c r="E53" s="288"/>
      <c r="F53" s="1072"/>
      <c r="G53" s="1531"/>
      <c r="H53" s="1531"/>
      <c r="I53" s="1531"/>
      <c r="J53" s="1531"/>
      <c r="K53" s="1531"/>
      <c r="L53" s="1531"/>
      <c r="M53" s="1531"/>
      <c r="N53" s="1531"/>
      <c r="O53" s="1531"/>
      <c r="P53" s="1531"/>
      <c r="Q53" s="1531"/>
      <c r="R53" s="1531"/>
      <c r="S53" s="1531"/>
      <c r="T53" s="1531"/>
      <c r="U53" s="1531"/>
      <c r="V53" s="1531"/>
      <c r="W53" s="1531"/>
      <c r="X53" s="1531"/>
      <c r="Y53" s="1531"/>
      <c r="Z53" s="1531"/>
      <c r="AA53" s="1531"/>
      <c r="AB53" s="1531"/>
      <c r="AC53" s="1531"/>
      <c r="AD53" s="1531"/>
      <c r="AE53" s="1531"/>
      <c r="AF53" s="1531"/>
      <c r="AG53" s="1531"/>
      <c r="AH53" s="1531"/>
      <c r="AI53" s="1531"/>
      <c r="AJ53" s="1531"/>
      <c r="AK53" s="1531"/>
      <c r="AL53" s="272"/>
    </row>
    <row r="54" spans="1:38">
      <c r="A54" s="283"/>
      <c r="B54" s="1"/>
      <c r="C54" s="358"/>
      <c r="D54" s="358"/>
      <c r="E54" s="283"/>
      <c r="F54" s="358"/>
      <c r="G54" s="358"/>
      <c r="H54" s="1"/>
      <c r="I54" s="358"/>
      <c r="J54" s="1067"/>
      <c r="K54" s="1067"/>
      <c r="L54" s="1067"/>
      <c r="M54" s="1067"/>
      <c r="N54" s="1067"/>
      <c r="O54" s="1067"/>
      <c r="P54" s="1067"/>
      <c r="Q54" s="1067"/>
      <c r="R54" s="1067"/>
      <c r="S54" s="1067"/>
      <c r="T54" s="1067"/>
      <c r="U54" s="1067"/>
      <c r="V54" s="1067"/>
      <c r="W54" s="1067"/>
      <c r="X54" s="1067"/>
      <c r="Y54" s="1067"/>
      <c r="Z54" s="1067"/>
      <c r="AA54" s="1067"/>
      <c r="AB54" s="1067"/>
      <c r="AC54" s="1067"/>
      <c r="AD54" s="1067"/>
      <c r="AE54" s="1067"/>
      <c r="AF54" s="1067"/>
      <c r="AG54" s="358"/>
      <c r="AH54" s="1"/>
      <c r="AI54" s="1"/>
      <c r="AJ54" s="1"/>
      <c r="AK54" s="1"/>
      <c r="AL54" s="1"/>
    </row>
    <row r="55" spans="1:38">
      <c r="A55" s="283"/>
      <c r="B55" s="283"/>
      <c r="C55" s="283"/>
      <c r="D55" s="283" t="s">
        <v>1011</v>
      </c>
      <c r="E55" s="283" t="s">
        <v>428</v>
      </c>
      <c r="F55" s="283"/>
      <c r="G55" s="283"/>
      <c r="H55" s="283"/>
      <c r="I55" s="283"/>
      <c r="J55" s="283"/>
      <c r="K55" s="283"/>
      <c r="L55" s="283"/>
      <c r="M55" s="283"/>
      <c r="N55" s="283"/>
      <c r="O55" s="283"/>
      <c r="P55" s="283"/>
      <c r="Q55" s="283"/>
      <c r="R55" s="283"/>
      <c r="S55" s="283"/>
      <c r="T55" s="283"/>
      <c r="U55" s="283"/>
      <c r="V55" s="283"/>
      <c r="W55" s="283"/>
      <c r="X55" s="283"/>
      <c r="Y55" s="283"/>
      <c r="Z55" s="283"/>
      <c r="AA55" s="283"/>
      <c r="AB55" s="283"/>
      <c r="AC55" s="283"/>
      <c r="AD55" s="283"/>
      <c r="AE55" s="283"/>
      <c r="AF55" s="283"/>
      <c r="AG55" s="283"/>
      <c r="AH55" s="283"/>
      <c r="AI55" s="283"/>
      <c r="AJ55" s="283"/>
      <c r="AK55" s="283"/>
      <c r="AL55" s="283"/>
    </row>
    <row r="56" spans="1:38">
      <c r="A56" s="283"/>
      <c r="B56" s="1"/>
      <c r="C56" s="358"/>
      <c r="D56" s="1"/>
      <c r="E56" s="289" t="s">
        <v>1906</v>
      </c>
      <c r="F56" s="1"/>
      <c r="G56" s="283"/>
      <c r="H56" s="283"/>
      <c r="I56" s="283"/>
      <c r="J56" s="283"/>
      <c r="K56" s="283"/>
      <c r="L56" s="283"/>
      <c r="M56" s="283"/>
      <c r="N56" s="283"/>
      <c r="O56" s="283"/>
      <c r="P56" s="283"/>
      <c r="Q56" s="283"/>
      <c r="R56" s="283"/>
      <c r="S56" s="283"/>
      <c r="T56" s="283"/>
      <c r="U56" s="283"/>
      <c r="V56" s="283"/>
      <c r="W56" s="283"/>
      <c r="X56" s="283"/>
      <c r="Y56" s="283"/>
      <c r="Z56" s="283"/>
      <c r="AA56" s="283"/>
      <c r="AB56" s="283"/>
      <c r="AC56" s="1"/>
      <c r="AD56" s="1"/>
      <c r="AE56" s="1"/>
      <c r="AF56" s="1"/>
      <c r="AG56" s="1"/>
      <c r="AH56" s="1"/>
      <c r="AI56" s="1"/>
      <c r="AJ56" s="1"/>
      <c r="AK56" s="1"/>
      <c r="AL56" s="1"/>
    </row>
    <row r="57" spans="1:38">
      <c r="A57" s="283"/>
      <c r="B57" s="1"/>
      <c r="C57" s="358"/>
      <c r="D57" s="283"/>
      <c r="E57" s="283" t="s">
        <v>903</v>
      </c>
      <c r="F57" s="283" t="s">
        <v>213</v>
      </c>
      <c r="G57" s="283"/>
      <c r="H57" s="283"/>
      <c r="I57" s="283"/>
      <c r="J57" s="283"/>
      <c r="K57" s="283"/>
      <c r="L57" s="283"/>
      <c r="M57" s="283"/>
      <c r="N57" s="1"/>
      <c r="O57" s="1"/>
      <c r="P57" s="283"/>
      <c r="Q57" s="283"/>
      <c r="R57" s="283"/>
      <c r="S57" s="283"/>
      <c r="T57" s="283"/>
      <c r="U57" s="283"/>
      <c r="V57" s="283"/>
      <c r="W57" s="283"/>
      <c r="X57" s="283"/>
      <c r="Y57" s="283"/>
      <c r="Z57" s="283"/>
      <c r="AA57" s="283"/>
      <c r="AB57" s="283"/>
      <c r="AC57" s="1"/>
      <c r="AD57" s="1"/>
      <c r="AE57" s="1"/>
      <c r="AF57" s="1"/>
      <c r="AG57" s="1"/>
      <c r="AH57" s="1"/>
      <c r="AI57" s="1"/>
      <c r="AJ57" s="1"/>
      <c r="AK57" s="1"/>
      <c r="AL57" s="1"/>
    </row>
    <row r="58" spans="1:38">
      <c r="A58" s="283"/>
      <c r="B58" s="1"/>
      <c r="C58" s="358"/>
      <c r="D58" s="283"/>
      <c r="E58" s="283"/>
      <c r="F58" s="426" t="s">
        <v>641</v>
      </c>
      <c r="G58" s="1515" t="s">
        <v>1908</v>
      </c>
      <c r="H58" s="1515"/>
      <c r="I58" s="1515"/>
      <c r="J58" s="1515"/>
      <c r="K58" s="1515"/>
      <c r="L58" s="1515"/>
      <c r="M58" s="1515"/>
      <c r="N58" s="1515"/>
      <c r="O58" s="1515"/>
      <c r="P58" s="1515"/>
      <c r="Q58" s="1515"/>
      <c r="R58" s="1515"/>
      <c r="S58" s="1515"/>
      <c r="T58" s="1515"/>
      <c r="U58" s="1515"/>
      <c r="V58" s="1515"/>
      <c r="W58" s="1515"/>
      <c r="X58" s="1515"/>
      <c r="Y58" s="1515"/>
      <c r="Z58" s="1515"/>
      <c r="AA58" s="1515"/>
      <c r="AB58" s="1515"/>
      <c r="AC58" s="1515"/>
      <c r="AD58" s="1515"/>
      <c r="AE58" s="1515"/>
      <c r="AF58" s="1515"/>
      <c r="AG58" s="1515"/>
      <c r="AH58" s="1515"/>
      <c r="AI58" s="1515"/>
      <c r="AJ58" s="1515"/>
      <c r="AK58" s="1515"/>
      <c r="AL58" s="1"/>
    </row>
    <row r="59" spans="1:38">
      <c r="A59" s="283"/>
      <c r="B59" s="1"/>
      <c r="C59" s="358"/>
      <c r="D59" s="283"/>
      <c r="E59" s="283"/>
      <c r="F59" s="426"/>
      <c r="G59" s="1515"/>
      <c r="H59" s="1515"/>
      <c r="I59" s="1515"/>
      <c r="J59" s="1515"/>
      <c r="K59" s="1515"/>
      <c r="L59" s="1515"/>
      <c r="M59" s="1515"/>
      <c r="N59" s="1515"/>
      <c r="O59" s="1515"/>
      <c r="P59" s="1515"/>
      <c r="Q59" s="1515"/>
      <c r="R59" s="1515"/>
      <c r="S59" s="1515"/>
      <c r="T59" s="1515"/>
      <c r="U59" s="1515"/>
      <c r="V59" s="1515"/>
      <c r="W59" s="1515"/>
      <c r="X59" s="1515"/>
      <c r="Y59" s="1515"/>
      <c r="Z59" s="1515"/>
      <c r="AA59" s="1515"/>
      <c r="AB59" s="1515"/>
      <c r="AC59" s="1515"/>
      <c r="AD59" s="1515"/>
      <c r="AE59" s="1515"/>
      <c r="AF59" s="1515"/>
      <c r="AG59" s="1515"/>
      <c r="AH59" s="1515"/>
      <c r="AI59" s="1515"/>
      <c r="AJ59" s="1515"/>
      <c r="AK59" s="1515"/>
      <c r="AL59" s="1"/>
    </row>
    <row r="60" spans="1:38">
      <c r="A60" s="283"/>
      <c r="B60" s="1"/>
      <c r="C60" s="358"/>
      <c r="D60" s="283"/>
      <c r="E60" s="283"/>
      <c r="F60" s="426"/>
      <c r="G60" s="1515"/>
      <c r="H60" s="1515"/>
      <c r="I60" s="1515"/>
      <c r="J60" s="1515"/>
      <c r="K60" s="1515"/>
      <c r="L60" s="1515"/>
      <c r="M60" s="1515"/>
      <c r="N60" s="1515"/>
      <c r="O60" s="1515"/>
      <c r="P60" s="1515"/>
      <c r="Q60" s="1515"/>
      <c r="R60" s="1515"/>
      <c r="S60" s="1515"/>
      <c r="T60" s="1515"/>
      <c r="U60" s="1515"/>
      <c r="V60" s="1515"/>
      <c r="W60" s="1515"/>
      <c r="X60" s="1515"/>
      <c r="Y60" s="1515"/>
      <c r="Z60" s="1515"/>
      <c r="AA60" s="1515"/>
      <c r="AB60" s="1515"/>
      <c r="AC60" s="1515"/>
      <c r="AD60" s="1515"/>
      <c r="AE60" s="1515"/>
      <c r="AF60" s="1515"/>
      <c r="AG60" s="1515"/>
      <c r="AH60" s="1515"/>
      <c r="AI60" s="1515"/>
      <c r="AJ60" s="1515"/>
      <c r="AK60" s="1515"/>
      <c r="AL60" s="1"/>
    </row>
    <row r="61" spans="1:38">
      <c r="A61" s="283"/>
      <c r="B61" s="1"/>
      <c r="C61" s="358"/>
      <c r="D61" s="283"/>
      <c r="E61" s="283"/>
      <c r="F61" s="426" t="s">
        <v>214</v>
      </c>
      <c r="G61" s="1515" t="s">
        <v>1907</v>
      </c>
      <c r="H61" s="1515"/>
      <c r="I61" s="1515"/>
      <c r="J61" s="1515"/>
      <c r="K61" s="1515"/>
      <c r="L61" s="1515"/>
      <c r="M61" s="1515"/>
      <c r="N61" s="1515"/>
      <c r="O61" s="1515"/>
      <c r="P61" s="1515"/>
      <c r="Q61" s="1515"/>
      <c r="R61" s="1515"/>
      <c r="S61" s="1515"/>
      <c r="T61" s="1515"/>
      <c r="U61" s="1515"/>
      <c r="V61" s="1515"/>
      <c r="W61" s="1515"/>
      <c r="X61" s="1515"/>
      <c r="Y61" s="1515"/>
      <c r="Z61" s="1515"/>
      <c r="AA61" s="1515"/>
      <c r="AB61" s="1515"/>
      <c r="AC61" s="1515"/>
      <c r="AD61" s="1515"/>
      <c r="AE61" s="1515"/>
      <c r="AF61" s="1515"/>
      <c r="AG61" s="1515"/>
      <c r="AH61" s="1515"/>
      <c r="AI61" s="1515"/>
      <c r="AJ61" s="1515"/>
      <c r="AK61" s="1515"/>
      <c r="AL61" s="1"/>
    </row>
    <row r="62" spans="1:38">
      <c r="A62" s="283"/>
      <c r="B62" s="1"/>
      <c r="C62" s="358"/>
      <c r="D62" s="283"/>
      <c r="E62" s="283"/>
      <c r="F62" s="426"/>
      <c r="G62" s="1515"/>
      <c r="H62" s="1515"/>
      <c r="I62" s="1515"/>
      <c r="J62" s="1515"/>
      <c r="K62" s="1515"/>
      <c r="L62" s="1515"/>
      <c r="M62" s="1515"/>
      <c r="N62" s="1515"/>
      <c r="O62" s="1515"/>
      <c r="P62" s="1515"/>
      <c r="Q62" s="1515"/>
      <c r="R62" s="1515"/>
      <c r="S62" s="1515"/>
      <c r="T62" s="1515"/>
      <c r="U62" s="1515"/>
      <c r="V62" s="1515"/>
      <c r="W62" s="1515"/>
      <c r="X62" s="1515"/>
      <c r="Y62" s="1515"/>
      <c r="Z62" s="1515"/>
      <c r="AA62" s="1515"/>
      <c r="AB62" s="1515"/>
      <c r="AC62" s="1515"/>
      <c r="AD62" s="1515"/>
      <c r="AE62" s="1515"/>
      <c r="AF62" s="1515"/>
      <c r="AG62" s="1515"/>
      <c r="AH62" s="1515"/>
      <c r="AI62" s="1515"/>
      <c r="AJ62" s="1515"/>
      <c r="AK62" s="1515"/>
      <c r="AL62" s="1"/>
    </row>
    <row r="63" spans="1:38">
      <c r="A63" s="283"/>
      <c r="B63" s="1"/>
      <c r="C63" s="358"/>
      <c r="D63" s="283"/>
      <c r="E63" s="283"/>
      <c r="F63" s="1073"/>
      <c r="G63" s="1515"/>
      <c r="H63" s="1515"/>
      <c r="I63" s="1515"/>
      <c r="J63" s="1515"/>
      <c r="K63" s="1515"/>
      <c r="L63" s="1515"/>
      <c r="M63" s="1515"/>
      <c r="N63" s="1515"/>
      <c r="O63" s="1515"/>
      <c r="P63" s="1515"/>
      <c r="Q63" s="1515"/>
      <c r="R63" s="1515"/>
      <c r="S63" s="1515"/>
      <c r="T63" s="1515"/>
      <c r="U63" s="1515"/>
      <c r="V63" s="1515"/>
      <c r="W63" s="1515"/>
      <c r="X63" s="1515"/>
      <c r="Y63" s="1515"/>
      <c r="Z63" s="1515"/>
      <c r="AA63" s="1515"/>
      <c r="AB63" s="1515"/>
      <c r="AC63" s="1515"/>
      <c r="AD63" s="1515"/>
      <c r="AE63" s="1515"/>
      <c r="AF63" s="1515"/>
      <c r="AG63" s="1515"/>
      <c r="AH63" s="1515"/>
      <c r="AI63" s="1515"/>
      <c r="AJ63" s="1515"/>
      <c r="AK63" s="1515"/>
      <c r="AL63" s="1"/>
    </row>
    <row r="64" spans="1:38">
      <c r="A64" s="283"/>
      <c r="B64" s="1"/>
      <c r="C64" s="358"/>
      <c r="D64" s="283"/>
      <c r="E64" s="283" t="s">
        <v>79</v>
      </c>
      <c r="F64" s="283" t="s">
        <v>752</v>
      </c>
      <c r="G64" s="283"/>
      <c r="H64" s="283"/>
      <c r="I64" s="283"/>
      <c r="J64" s="283"/>
      <c r="K64" s="283"/>
      <c r="L64" s="283"/>
      <c r="M64" s="283"/>
      <c r="N64" s="1"/>
      <c r="O64" s="1"/>
      <c r="P64" s="283"/>
      <c r="Q64" s="283"/>
      <c r="R64" s="283"/>
      <c r="S64" s="283"/>
      <c r="T64" s="283"/>
      <c r="U64" s="283"/>
      <c r="V64" s="283"/>
      <c r="W64" s="283"/>
      <c r="X64" s="283"/>
      <c r="Y64" s="283"/>
      <c r="Z64" s="283"/>
      <c r="AA64" s="283"/>
      <c r="AB64" s="283"/>
      <c r="AC64" s="1"/>
      <c r="AD64" s="1"/>
      <c r="AE64" s="1"/>
      <c r="AF64" s="1"/>
      <c r="AG64" s="1"/>
      <c r="AH64" s="1"/>
      <c r="AI64" s="1"/>
      <c r="AJ64" s="1"/>
      <c r="AK64" s="1"/>
      <c r="AL64" s="1"/>
    </row>
    <row r="65" spans="1:38">
      <c r="A65" s="283"/>
      <c r="B65" s="1"/>
      <c r="C65" s="358"/>
      <c r="D65" s="283"/>
      <c r="E65" s="283"/>
      <c r="F65" s="517" t="s">
        <v>641</v>
      </c>
      <c r="G65" s="1515" t="s">
        <v>1909</v>
      </c>
      <c r="H65" s="1515"/>
      <c r="I65" s="1515"/>
      <c r="J65" s="1515"/>
      <c r="K65" s="1515"/>
      <c r="L65" s="1515"/>
      <c r="M65" s="1515"/>
      <c r="N65" s="1515"/>
      <c r="O65" s="1515"/>
      <c r="P65" s="1515"/>
      <c r="Q65" s="1515"/>
      <c r="R65" s="1515"/>
      <c r="S65" s="1515"/>
      <c r="T65" s="1515"/>
      <c r="U65" s="1515"/>
      <c r="V65" s="1515"/>
      <c r="W65" s="1515"/>
      <c r="X65" s="1515"/>
      <c r="Y65" s="1515"/>
      <c r="Z65" s="1515"/>
      <c r="AA65" s="1515"/>
      <c r="AB65" s="1515"/>
      <c r="AC65" s="1515"/>
      <c r="AD65" s="1515"/>
      <c r="AE65" s="1515"/>
      <c r="AF65" s="1515"/>
      <c r="AG65" s="1515"/>
      <c r="AH65" s="1515"/>
      <c r="AI65" s="1515"/>
      <c r="AJ65" s="1515"/>
      <c r="AK65" s="1515"/>
      <c r="AL65" s="1"/>
    </row>
    <row r="66" spans="1:38">
      <c r="A66" s="283"/>
      <c r="B66" s="1"/>
      <c r="C66" s="358"/>
      <c r="D66" s="283"/>
      <c r="E66" s="283"/>
      <c r="F66" s="517"/>
      <c r="G66" s="1515"/>
      <c r="H66" s="1515"/>
      <c r="I66" s="1515"/>
      <c r="J66" s="1515"/>
      <c r="K66" s="1515"/>
      <c r="L66" s="1515"/>
      <c r="M66" s="1515"/>
      <c r="N66" s="1515"/>
      <c r="O66" s="1515"/>
      <c r="P66" s="1515"/>
      <c r="Q66" s="1515"/>
      <c r="R66" s="1515"/>
      <c r="S66" s="1515"/>
      <c r="T66" s="1515"/>
      <c r="U66" s="1515"/>
      <c r="V66" s="1515"/>
      <c r="W66" s="1515"/>
      <c r="X66" s="1515"/>
      <c r="Y66" s="1515"/>
      <c r="Z66" s="1515"/>
      <c r="AA66" s="1515"/>
      <c r="AB66" s="1515"/>
      <c r="AC66" s="1515"/>
      <c r="AD66" s="1515"/>
      <c r="AE66" s="1515"/>
      <c r="AF66" s="1515"/>
      <c r="AG66" s="1515"/>
      <c r="AH66" s="1515"/>
      <c r="AI66" s="1515"/>
      <c r="AJ66" s="1515"/>
      <c r="AK66" s="1515"/>
      <c r="AL66" s="1"/>
    </row>
    <row r="67" spans="1:38">
      <c r="A67" s="283"/>
      <c r="B67" s="1"/>
      <c r="C67" s="358"/>
      <c r="D67" s="283"/>
      <c r="E67" s="283"/>
      <c r="F67" s="517" t="s">
        <v>214</v>
      </c>
      <c r="G67" s="1515" t="s">
        <v>1910</v>
      </c>
      <c r="H67" s="1515"/>
      <c r="I67" s="1515"/>
      <c r="J67" s="1515"/>
      <c r="K67" s="1515"/>
      <c r="L67" s="1515"/>
      <c r="M67" s="1515"/>
      <c r="N67" s="1515"/>
      <c r="O67" s="1515"/>
      <c r="P67" s="1515"/>
      <c r="Q67" s="1515"/>
      <c r="R67" s="1515"/>
      <c r="S67" s="1515"/>
      <c r="T67" s="1515"/>
      <c r="U67" s="1515"/>
      <c r="V67" s="1515"/>
      <c r="W67" s="1515"/>
      <c r="X67" s="1515"/>
      <c r="Y67" s="1515"/>
      <c r="Z67" s="1515"/>
      <c r="AA67" s="1515"/>
      <c r="AB67" s="1515"/>
      <c r="AC67" s="1515"/>
      <c r="AD67" s="1515"/>
      <c r="AE67" s="1515"/>
      <c r="AF67" s="1515"/>
      <c r="AG67" s="1515"/>
      <c r="AH67" s="1515"/>
      <c r="AI67" s="1515"/>
      <c r="AJ67" s="1515"/>
      <c r="AK67" s="1515"/>
      <c r="AL67" s="1"/>
    </row>
    <row r="68" spans="1:38">
      <c r="A68" s="283"/>
      <c r="B68" s="1"/>
      <c r="C68" s="358"/>
      <c r="D68" s="283"/>
      <c r="E68" s="283"/>
      <c r="F68" s="517"/>
      <c r="G68" s="1515"/>
      <c r="H68" s="1515"/>
      <c r="I68" s="1515"/>
      <c r="J68" s="1515"/>
      <c r="K68" s="1515"/>
      <c r="L68" s="1515"/>
      <c r="M68" s="1515"/>
      <c r="N68" s="1515"/>
      <c r="O68" s="1515"/>
      <c r="P68" s="1515"/>
      <c r="Q68" s="1515"/>
      <c r="R68" s="1515"/>
      <c r="S68" s="1515"/>
      <c r="T68" s="1515"/>
      <c r="U68" s="1515"/>
      <c r="V68" s="1515"/>
      <c r="W68" s="1515"/>
      <c r="X68" s="1515"/>
      <c r="Y68" s="1515"/>
      <c r="Z68" s="1515"/>
      <c r="AA68" s="1515"/>
      <c r="AB68" s="1515"/>
      <c r="AC68" s="1515"/>
      <c r="AD68" s="1515"/>
      <c r="AE68" s="1515"/>
      <c r="AF68" s="1515"/>
      <c r="AG68" s="1515"/>
      <c r="AH68" s="1515"/>
      <c r="AI68" s="1515"/>
      <c r="AJ68" s="1515"/>
      <c r="AK68" s="1515"/>
      <c r="AL68" s="1"/>
    </row>
    <row r="69" spans="1:38">
      <c r="A69" s="283"/>
      <c r="B69" s="1"/>
      <c r="C69" s="358"/>
      <c r="D69" s="283"/>
      <c r="E69" s="283"/>
      <c r="F69" s="517"/>
      <c r="G69" s="1067" t="s">
        <v>520</v>
      </c>
      <c r="H69" s="283"/>
      <c r="I69" s="1"/>
      <c r="J69" s="1067"/>
      <c r="K69" s="1067"/>
      <c r="L69" s="1067"/>
      <c r="M69" s="1"/>
      <c r="N69" s="1"/>
      <c r="O69" s="1"/>
      <c r="P69" s="283"/>
      <c r="Q69" s="283"/>
      <c r="R69" s="283"/>
      <c r="S69" s="283"/>
      <c r="T69" s="283"/>
      <c r="U69" s="283"/>
      <c r="V69" s="283"/>
      <c r="W69" s="283"/>
      <c r="X69" s="283"/>
      <c r="Y69" s="283"/>
      <c r="Z69" s="283"/>
      <c r="AA69" s="283"/>
      <c r="AB69" s="283"/>
      <c r="AC69" s="1"/>
      <c r="AD69" s="1"/>
      <c r="AE69" s="1"/>
      <c r="AF69" s="1"/>
      <c r="AG69" s="1"/>
      <c r="AH69" s="1"/>
      <c r="AI69" s="1"/>
      <c r="AJ69" s="1"/>
      <c r="AK69" s="1"/>
      <c r="AL69" s="1"/>
    </row>
    <row r="70" spans="1:38">
      <c r="A70" s="283"/>
      <c r="B70" s="1"/>
      <c r="C70" s="358"/>
      <c r="D70" s="283"/>
      <c r="E70" s="283"/>
      <c r="F70" s="517"/>
      <c r="G70" s="1067" t="s">
        <v>1164</v>
      </c>
      <c r="H70" s="1"/>
      <c r="I70" s="1"/>
      <c r="J70" s="1067"/>
      <c r="K70" s="1067"/>
      <c r="L70" s="1067"/>
      <c r="M70" s="1"/>
      <c r="N70" s="1"/>
      <c r="O70" s="1"/>
      <c r="P70" s="283"/>
      <c r="Q70" s="283"/>
      <c r="R70" s="283"/>
      <c r="S70" s="283"/>
      <c r="T70" s="283"/>
      <c r="U70" s="283"/>
      <c r="V70" s="283"/>
      <c r="W70" s="283"/>
      <c r="X70" s="283"/>
      <c r="Y70" s="283"/>
      <c r="Z70" s="283"/>
      <c r="AA70" s="283"/>
      <c r="AB70" s="283"/>
      <c r="AC70" s="1"/>
      <c r="AD70" s="1"/>
      <c r="AE70" s="1"/>
      <c r="AF70" s="1"/>
      <c r="AG70" s="1"/>
      <c r="AH70" s="1"/>
      <c r="AI70" s="1"/>
      <c r="AJ70" s="1"/>
      <c r="AK70" s="1"/>
      <c r="AL70" s="1"/>
    </row>
    <row r="71" spans="1:38">
      <c r="A71" s="283"/>
      <c r="B71" s="1"/>
      <c r="C71" s="358"/>
      <c r="D71" s="283"/>
      <c r="E71" s="283"/>
      <c r="F71" s="517" t="s">
        <v>992</v>
      </c>
      <c r="G71" s="283" t="s">
        <v>498</v>
      </c>
      <c r="H71" s="283"/>
      <c r="I71" s="283"/>
      <c r="J71" s="1"/>
      <c r="K71" s="283"/>
      <c r="L71" s="283"/>
      <c r="M71" s="283"/>
      <c r="N71" s="1"/>
      <c r="O71" s="1"/>
      <c r="P71" s="283"/>
      <c r="Q71" s="283"/>
      <c r="R71" s="283"/>
      <c r="S71" s="283"/>
      <c r="T71" s="283"/>
      <c r="U71" s="283"/>
      <c r="V71" s="283"/>
      <c r="W71" s="283"/>
      <c r="X71" s="283"/>
      <c r="Y71" s="283"/>
      <c r="Z71" s="283"/>
      <c r="AA71" s="283"/>
      <c r="AB71" s="283"/>
      <c r="AC71" s="1"/>
      <c r="AD71" s="1"/>
      <c r="AE71" s="1"/>
      <c r="AF71" s="1"/>
      <c r="AG71" s="1"/>
      <c r="AH71" s="1"/>
      <c r="AI71" s="1"/>
      <c r="AJ71" s="1"/>
      <c r="AK71" s="1"/>
      <c r="AL71" s="1"/>
    </row>
    <row r="72" spans="1:38">
      <c r="A72" s="283"/>
      <c r="B72" s="1"/>
      <c r="C72" s="358"/>
      <c r="D72" s="283"/>
      <c r="E72" s="283"/>
      <c r="F72" s="283"/>
      <c r="G72" s="283" t="s">
        <v>212</v>
      </c>
      <c r="H72" s="283" t="s">
        <v>1163</v>
      </c>
      <c r="I72" s="1"/>
      <c r="J72" s="1"/>
      <c r="K72" s="283"/>
      <c r="L72" s="283"/>
      <c r="M72" s="283"/>
      <c r="N72" s="1"/>
      <c r="O72" s="1"/>
      <c r="P72" s="283"/>
      <c r="Q72" s="283"/>
      <c r="R72" s="283"/>
      <c r="S72" s="283"/>
      <c r="T72" s="283"/>
      <c r="U72" s="283"/>
      <c r="V72" s="283"/>
      <c r="W72" s="283"/>
      <c r="X72" s="283"/>
      <c r="Y72" s="283"/>
      <c r="Z72" s="283"/>
      <c r="AA72" s="283"/>
      <c r="AB72" s="283"/>
      <c r="AC72" s="1"/>
      <c r="AD72" s="1"/>
      <c r="AE72" s="1"/>
      <c r="AF72" s="1"/>
      <c r="AG72" s="1"/>
      <c r="AH72" s="1"/>
      <c r="AI72" s="1"/>
      <c r="AJ72" s="1"/>
      <c r="AK72" s="1"/>
      <c r="AL72" s="1"/>
    </row>
    <row r="73" spans="1:38">
      <c r="A73" s="283"/>
      <c r="B73" s="1"/>
      <c r="C73" s="358"/>
      <c r="D73" s="283"/>
      <c r="E73" s="283"/>
      <c r="F73" s="283"/>
      <c r="G73" s="283" t="s">
        <v>336</v>
      </c>
      <c r="H73" s="283" t="s">
        <v>499</v>
      </c>
      <c r="I73" s="1"/>
      <c r="J73" s="1"/>
      <c r="K73" s="283"/>
      <c r="L73" s="283"/>
      <c r="M73" s="283"/>
      <c r="N73" s="1"/>
      <c r="O73" s="1"/>
      <c r="P73" s="283"/>
      <c r="Q73" s="283"/>
      <c r="R73" s="283"/>
      <c r="S73" s="283"/>
      <c r="T73" s="283"/>
      <c r="U73" s="283"/>
      <c r="V73" s="283"/>
      <c r="W73" s="283"/>
      <c r="X73" s="283"/>
      <c r="Y73" s="283"/>
      <c r="Z73" s="283"/>
      <c r="AA73" s="283"/>
      <c r="AB73" s="283"/>
      <c r="AC73" s="1"/>
      <c r="AD73" s="1"/>
      <c r="AE73" s="1"/>
      <c r="AF73" s="1"/>
      <c r="AG73" s="1"/>
      <c r="AH73" s="1"/>
      <c r="AI73" s="1"/>
      <c r="AJ73" s="1"/>
      <c r="AK73" s="1"/>
      <c r="AL73" s="1"/>
    </row>
    <row r="74" spans="1:38">
      <c r="A74" s="283"/>
      <c r="B74" s="1"/>
      <c r="C74" s="358"/>
      <c r="D74" s="283"/>
      <c r="E74" s="283" t="s">
        <v>594</v>
      </c>
      <c r="F74" s="283" t="s">
        <v>875</v>
      </c>
      <c r="G74" s="283"/>
      <c r="H74" s="283"/>
      <c r="I74" s="283"/>
      <c r="J74" s="283"/>
      <c r="K74" s="283"/>
      <c r="L74" s="283"/>
      <c r="M74" s="283"/>
      <c r="N74" s="1"/>
      <c r="O74" s="1"/>
      <c r="P74" s="283"/>
      <c r="Q74" s="283"/>
      <c r="R74" s="283"/>
      <c r="S74" s="283"/>
      <c r="T74" s="283"/>
      <c r="U74" s="283"/>
      <c r="V74" s="283"/>
      <c r="W74" s="283"/>
      <c r="X74" s="283"/>
      <c r="Y74" s="283"/>
      <c r="Z74" s="283"/>
      <c r="AA74" s="283"/>
      <c r="AB74" s="283"/>
      <c r="AC74" s="1"/>
      <c r="AD74" s="1"/>
      <c r="AE74" s="1"/>
      <c r="AF74" s="1"/>
      <c r="AG74" s="1"/>
      <c r="AH74" s="1"/>
      <c r="AI74" s="1"/>
      <c r="AJ74" s="1"/>
      <c r="AK74" s="1"/>
      <c r="AL74" s="1"/>
    </row>
    <row r="75" spans="1:38">
      <c r="A75" s="283"/>
      <c r="B75" s="1"/>
      <c r="C75" s="358"/>
      <c r="D75" s="283"/>
      <c r="E75" s="283"/>
      <c r="F75" s="517"/>
      <c r="G75" s="1515" t="s">
        <v>1925</v>
      </c>
      <c r="H75" s="1515"/>
      <c r="I75" s="1515"/>
      <c r="J75" s="1515"/>
      <c r="K75" s="1515"/>
      <c r="L75" s="1515"/>
      <c r="M75" s="1515"/>
      <c r="N75" s="1515"/>
      <c r="O75" s="1515"/>
      <c r="P75" s="1515"/>
      <c r="Q75" s="1515"/>
      <c r="R75" s="1515"/>
      <c r="S75" s="1515"/>
      <c r="T75" s="1515"/>
      <c r="U75" s="1515"/>
      <c r="V75" s="1515"/>
      <c r="W75" s="1515"/>
      <c r="X75" s="1515"/>
      <c r="Y75" s="1515"/>
      <c r="Z75" s="1515"/>
      <c r="AA75" s="1515"/>
      <c r="AB75" s="1515"/>
      <c r="AC75" s="1515"/>
      <c r="AD75" s="1515"/>
      <c r="AE75" s="1515"/>
      <c r="AF75" s="1515"/>
      <c r="AG75" s="1515"/>
      <c r="AH75" s="1515"/>
      <c r="AI75" s="1515"/>
      <c r="AJ75" s="1515"/>
      <c r="AK75" s="1515"/>
      <c r="AL75" s="1"/>
    </row>
    <row r="76" spans="1:38">
      <c r="A76" s="283"/>
      <c r="B76" s="1"/>
      <c r="C76" s="358"/>
      <c r="D76" s="283"/>
      <c r="E76" s="283"/>
      <c r="F76" s="283"/>
      <c r="G76" s="1515"/>
      <c r="H76" s="1515"/>
      <c r="I76" s="1515"/>
      <c r="J76" s="1515"/>
      <c r="K76" s="1515"/>
      <c r="L76" s="1515"/>
      <c r="M76" s="1515"/>
      <c r="N76" s="1515"/>
      <c r="O76" s="1515"/>
      <c r="P76" s="1515"/>
      <c r="Q76" s="1515"/>
      <c r="R76" s="1515"/>
      <c r="S76" s="1515"/>
      <c r="T76" s="1515"/>
      <c r="U76" s="1515"/>
      <c r="V76" s="1515"/>
      <c r="W76" s="1515"/>
      <c r="X76" s="1515"/>
      <c r="Y76" s="1515"/>
      <c r="Z76" s="1515"/>
      <c r="AA76" s="1515"/>
      <c r="AB76" s="1515"/>
      <c r="AC76" s="1515"/>
      <c r="AD76" s="1515"/>
      <c r="AE76" s="1515"/>
      <c r="AF76" s="1515"/>
      <c r="AG76" s="1515"/>
      <c r="AH76" s="1515"/>
      <c r="AI76" s="1515"/>
      <c r="AJ76" s="1515"/>
      <c r="AK76" s="1515"/>
      <c r="AL76" s="1"/>
    </row>
    <row r="77" spans="1:38">
      <c r="A77" s="283"/>
      <c r="B77" s="1"/>
      <c r="C77" s="358"/>
      <c r="D77" s="283"/>
      <c r="E77" s="283"/>
      <c r="F77" s="283"/>
      <c r="G77" s="1515"/>
      <c r="H77" s="1515"/>
      <c r="I77" s="1515"/>
      <c r="J77" s="1515"/>
      <c r="K77" s="1515"/>
      <c r="L77" s="1515"/>
      <c r="M77" s="1515"/>
      <c r="N77" s="1515"/>
      <c r="O77" s="1515"/>
      <c r="P77" s="1515"/>
      <c r="Q77" s="1515"/>
      <c r="R77" s="1515"/>
      <c r="S77" s="1515"/>
      <c r="T77" s="1515"/>
      <c r="U77" s="1515"/>
      <c r="V77" s="1515"/>
      <c r="W77" s="1515"/>
      <c r="X77" s="1515"/>
      <c r="Y77" s="1515"/>
      <c r="Z77" s="1515"/>
      <c r="AA77" s="1515"/>
      <c r="AB77" s="1515"/>
      <c r="AC77" s="1515"/>
      <c r="AD77" s="1515"/>
      <c r="AE77" s="1515"/>
      <c r="AF77" s="1515"/>
      <c r="AG77" s="1515"/>
      <c r="AH77" s="1515"/>
      <c r="AI77" s="1515"/>
      <c r="AJ77" s="1515"/>
      <c r="AK77" s="1515"/>
      <c r="AL77" s="1"/>
    </row>
    <row r="78" spans="1:38">
      <c r="A78" s="283"/>
      <c r="B78" s="1"/>
      <c r="C78" s="358"/>
      <c r="D78" s="283"/>
      <c r="E78" s="283" t="s">
        <v>508</v>
      </c>
      <c r="F78" s="283" t="s">
        <v>96</v>
      </c>
      <c r="G78" s="283"/>
      <c r="H78" s="283"/>
      <c r="I78" s="283"/>
      <c r="J78" s="283"/>
      <c r="K78" s="283"/>
      <c r="L78" s="283"/>
      <c r="M78" s="283"/>
      <c r="N78" s="1"/>
      <c r="O78" s="1"/>
      <c r="P78" s="283"/>
      <c r="Q78" s="283"/>
      <c r="R78" s="283"/>
      <c r="S78" s="283"/>
      <c r="T78" s="283"/>
      <c r="U78" s="283"/>
      <c r="V78" s="283"/>
      <c r="W78" s="283"/>
      <c r="X78" s="283"/>
      <c r="Y78" s="283"/>
      <c r="Z78" s="283"/>
      <c r="AA78" s="283"/>
      <c r="AB78" s="283"/>
      <c r="AC78" s="1"/>
      <c r="AD78" s="1"/>
      <c r="AE78" s="1"/>
      <c r="AF78" s="1"/>
      <c r="AG78" s="1"/>
      <c r="AH78" s="1"/>
      <c r="AI78" s="1"/>
      <c r="AJ78" s="1"/>
      <c r="AK78" s="1"/>
      <c r="AL78" s="1"/>
    </row>
    <row r="79" spans="1:38">
      <c r="A79" s="283"/>
      <c r="B79" s="1"/>
      <c r="C79" s="358"/>
      <c r="D79" s="283"/>
      <c r="E79" s="283"/>
      <c r="F79" s="517"/>
      <c r="G79" s="1515" t="s">
        <v>1926</v>
      </c>
      <c r="H79" s="1515"/>
      <c r="I79" s="1515"/>
      <c r="J79" s="1515"/>
      <c r="K79" s="1515"/>
      <c r="L79" s="1515"/>
      <c r="M79" s="1515"/>
      <c r="N79" s="1515"/>
      <c r="O79" s="1515"/>
      <c r="P79" s="1515"/>
      <c r="Q79" s="1515"/>
      <c r="R79" s="1515"/>
      <c r="S79" s="1515"/>
      <c r="T79" s="1515"/>
      <c r="U79" s="1515"/>
      <c r="V79" s="1515"/>
      <c r="W79" s="1515"/>
      <c r="X79" s="1515"/>
      <c r="Y79" s="1515"/>
      <c r="Z79" s="1515"/>
      <c r="AA79" s="1515"/>
      <c r="AB79" s="1515"/>
      <c r="AC79" s="1515"/>
      <c r="AD79" s="1515"/>
      <c r="AE79" s="1515"/>
      <c r="AF79" s="1515"/>
      <c r="AG79" s="1515"/>
      <c r="AH79" s="1515"/>
      <c r="AI79" s="1515"/>
      <c r="AJ79" s="1515"/>
      <c r="AK79" s="1515"/>
      <c r="AL79" s="1"/>
    </row>
    <row r="80" spans="1:38">
      <c r="A80" s="283"/>
      <c r="B80" s="1"/>
      <c r="C80" s="358"/>
      <c r="D80" s="283"/>
      <c r="E80" s="283"/>
      <c r="F80" s="283"/>
      <c r="G80" s="1515"/>
      <c r="H80" s="1515"/>
      <c r="I80" s="1515"/>
      <c r="J80" s="1515"/>
      <c r="K80" s="1515"/>
      <c r="L80" s="1515"/>
      <c r="M80" s="1515"/>
      <c r="N80" s="1515"/>
      <c r="O80" s="1515"/>
      <c r="P80" s="1515"/>
      <c r="Q80" s="1515"/>
      <c r="R80" s="1515"/>
      <c r="S80" s="1515"/>
      <c r="T80" s="1515"/>
      <c r="U80" s="1515"/>
      <c r="V80" s="1515"/>
      <c r="W80" s="1515"/>
      <c r="X80" s="1515"/>
      <c r="Y80" s="1515"/>
      <c r="Z80" s="1515"/>
      <c r="AA80" s="1515"/>
      <c r="AB80" s="1515"/>
      <c r="AC80" s="1515"/>
      <c r="AD80" s="1515"/>
      <c r="AE80" s="1515"/>
      <c r="AF80" s="1515"/>
      <c r="AG80" s="1515"/>
      <c r="AH80" s="1515"/>
      <c r="AI80" s="1515"/>
      <c r="AJ80" s="1515"/>
      <c r="AK80" s="1515"/>
      <c r="AL80" s="1"/>
    </row>
    <row r="81" spans="1:38">
      <c r="A81" s="283"/>
      <c r="B81" s="1"/>
      <c r="C81" s="358"/>
      <c r="D81" s="283"/>
      <c r="E81" s="283"/>
      <c r="F81" s="1"/>
      <c r="G81" s="1515"/>
      <c r="H81" s="1515"/>
      <c r="I81" s="1515"/>
      <c r="J81" s="1515"/>
      <c r="K81" s="1515"/>
      <c r="L81" s="1515"/>
      <c r="M81" s="1515"/>
      <c r="N81" s="1515"/>
      <c r="O81" s="1515"/>
      <c r="P81" s="1515"/>
      <c r="Q81" s="1515"/>
      <c r="R81" s="1515"/>
      <c r="S81" s="1515"/>
      <c r="T81" s="1515"/>
      <c r="U81" s="1515"/>
      <c r="V81" s="1515"/>
      <c r="W81" s="1515"/>
      <c r="X81" s="1515"/>
      <c r="Y81" s="1515"/>
      <c r="Z81" s="1515"/>
      <c r="AA81" s="1515"/>
      <c r="AB81" s="1515"/>
      <c r="AC81" s="1515"/>
      <c r="AD81" s="1515"/>
      <c r="AE81" s="1515"/>
      <c r="AF81" s="1515"/>
      <c r="AG81" s="1515"/>
      <c r="AH81" s="1515"/>
      <c r="AI81" s="1515"/>
      <c r="AJ81" s="1515"/>
      <c r="AK81" s="1515"/>
      <c r="AL81" s="1"/>
    </row>
    <row r="82" spans="1:38">
      <c r="A82" s="283"/>
      <c r="B82" s="1"/>
      <c r="C82" s="358"/>
      <c r="D82" s="283"/>
      <c r="E82" s="283" t="s">
        <v>53</v>
      </c>
      <c r="F82" s="283" t="s">
        <v>936</v>
      </c>
      <c r="G82" s="283"/>
      <c r="H82" s="283"/>
      <c r="I82" s="283"/>
      <c r="J82" s="283"/>
      <c r="K82" s="1"/>
      <c r="L82" s="283"/>
      <c r="M82" s="283"/>
      <c r="N82" s="1"/>
      <c r="O82" s="1"/>
      <c r="P82" s="283"/>
      <c r="Q82" s="283"/>
      <c r="R82" s="283"/>
      <c r="S82" s="283"/>
      <c r="T82" s="283"/>
      <c r="U82" s="283"/>
      <c r="V82" s="283"/>
      <c r="W82" s="283"/>
      <c r="X82" s="283"/>
      <c r="Y82" s="283"/>
      <c r="Z82" s="283"/>
      <c r="AA82" s="283"/>
      <c r="AB82" s="283"/>
      <c r="AC82" s="1"/>
      <c r="AD82" s="1"/>
      <c r="AE82" s="1"/>
      <c r="AF82" s="1"/>
      <c r="AG82" s="1"/>
      <c r="AH82" s="1"/>
      <c r="AI82" s="1"/>
      <c r="AJ82" s="1"/>
      <c r="AK82" s="1"/>
      <c r="AL82" s="1"/>
    </row>
    <row r="83" spans="1:38">
      <c r="A83" s="283"/>
      <c r="B83" s="1"/>
      <c r="C83" s="358"/>
      <c r="D83" s="283"/>
      <c r="E83" s="283"/>
      <c r="F83" s="1"/>
      <c r="G83" s="1515" t="s">
        <v>1911</v>
      </c>
      <c r="H83" s="1515"/>
      <c r="I83" s="1515"/>
      <c r="J83" s="1515"/>
      <c r="K83" s="1515"/>
      <c r="L83" s="1515"/>
      <c r="M83" s="1515"/>
      <c r="N83" s="1515"/>
      <c r="O83" s="1515"/>
      <c r="P83" s="1515"/>
      <c r="Q83" s="1515"/>
      <c r="R83" s="1515"/>
      <c r="S83" s="1515"/>
      <c r="T83" s="1515"/>
      <c r="U83" s="1515"/>
      <c r="V83" s="1515"/>
      <c r="W83" s="1515"/>
      <c r="X83" s="1515"/>
      <c r="Y83" s="1515"/>
      <c r="Z83" s="1515"/>
      <c r="AA83" s="1515"/>
      <c r="AB83" s="1515"/>
      <c r="AC83" s="1515"/>
      <c r="AD83" s="1515"/>
      <c r="AE83" s="1515"/>
      <c r="AF83" s="1515"/>
      <c r="AG83" s="1515"/>
      <c r="AH83" s="1515"/>
      <c r="AI83" s="1515"/>
      <c r="AJ83" s="1515"/>
      <c r="AK83" s="1515"/>
      <c r="AL83" s="1"/>
    </row>
    <row r="84" spans="1:38">
      <c r="A84" s="283"/>
      <c r="B84" s="1"/>
      <c r="C84" s="358"/>
      <c r="D84" s="283"/>
      <c r="E84" s="283"/>
      <c r="F84" s="1"/>
      <c r="G84" s="1515"/>
      <c r="H84" s="1515"/>
      <c r="I84" s="1515"/>
      <c r="J84" s="1515"/>
      <c r="K84" s="1515"/>
      <c r="L84" s="1515"/>
      <c r="M84" s="1515"/>
      <c r="N84" s="1515"/>
      <c r="O84" s="1515"/>
      <c r="P84" s="1515"/>
      <c r="Q84" s="1515"/>
      <c r="R84" s="1515"/>
      <c r="S84" s="1515"/>
      <c r="T84" s="1515"/>
      <c r="U84" s="1515"/>
      <c r="V84" s="1515"/>
      <c r="W84" s="1515"/>
      <c r="X84" s="1515"/>
      <c r="Y84" s="1515"/>
      <c r="Z84" s="1515"/>
      <c r="AA84" s="1515"/>
      <c r="AB84" s="1515"/>
      <c r="AC84" s="1515"/>
      <c r="AD84" s="1515"/>
      <c r="AE84" s="1515"/>
      <c r="AF84" s="1515"/>
      <c r="AG84" s="1515"/>
      <c r="AH84" s="1515"/>
      <c r="AI84" s="1515"/>
      <c r="AJ84" s="1515"/>
      <c r="AK84" s="1515"/>
      <c r="AL84" s="1"/>
    </row>
    <row r="85" spans="1:38">
      <c r="A85" s="283"/>
      <c r="B85" s="1"/>
      <c r="C85" s="358"/>
      <c r="D85" s="283"/>
      <c r="E85" s="283" t="s">
        <v>54</v>
      </c>
      <c r="F85" s="283" t="s">
        <v>157</v>
      </c>
      <c r="G85" s="283"/>
      <c r="H85" s="283"/>
      <c r="I85" s="283"/>
      <c r="J85" s="283"/>
      <c r="K85" s="283"/>
      <c r="L85" s="283"/>
      <c r="M85" s="283"/>
      <c r="N85" s="1"/>
      <c r="O85" s="1"/>
      <c r="P85" s="283"/>
      <c r="Q85" s="283"/>
      <c r="R85" s="283"/>
      <c r="S85" s="283"/>
      <c r="T85" s="283"/>
      <c r="U85" s="283"/>
      <c r="V85" s="283"/>
      <c r="W85" s="283"/>
      <c r="X85" s="283"/>
      <c r="Y85" s="283"/>
      <c r="Z85" s="283"/>
      <c r="AA85" s="283"/>
      <c r="AB85" s="283"/>
      <c r="AC85" s="1"/>
      <c r="AD85" s="1"/>
      <c r="AE85" s="1"/>
      <c r="AF85" s="1"/>
      <c r="AG85" s="1"/>
      <c r="AH85" s="1"/>
      <c r="AI85" s="1"/>
      <c r="AJ85" s="1"/>
      <c r="AK85" s="1"/>
      <c r="AL85" s="1"/>
    </row>
    <row r="86" spans="1:38">
      <c r="A86" s="283"/>
      <c r="B86" s="1"/>
      <c r="C86" s="358"/>
      <c r="D86" s="283"/>
      <c r="E86" s="283"/>
      <c r="F86" s="517"/>
      <c r="G86" s="1515" t="s">
        <v>1912</v>
      </c>
      <c r="H86" s="1515"/>
      <c r="I86" s="1515"/>
      <c r="J86" s="1515"/>
      <c r="K86" s="1515"/>
      <c r="L86" s="1515"/>
      <c r="M86" s="1515"/>
      <c r="N86" s="1515"/>
      <c r="O86" s="1515"/>
      <c r="P86" s="1515"/>
      <c r="Q86" s="1515"/>
      <c r="R86" s="1515"/>
      <c r="S86" s="1515"/>
      <c r="T86" s="1515"/>
      <c r="U86" s="1515"/>
      <c r="V86" s="1515"/>
      <c r="W86" s="1515"/>
      <c r="X86" s="1515"/>
      <c r="Y86" s="1515"/>
      <c r="Z86" s="1515"/>
      <c r="AA86" s="1515"/>
      <c r="AB86" s="1515"/>
      <c r="AC86" s="1515"/>
      <c r="AD86" s="1515"/>
      <c r="AE86" s="1515"/>
      <c r="AF86" s="1515"/>
      <c r="AG86" s="1515"/>
      <c r="AH86" s="1515"/>
      <c r="AI86" s="1515"/>
      <c r="AJ86" s="1515"/>
      <c r="AK86" s="1515"/>
      <c r="AL86" s="1"/>
    </row>
    <row r="87" spans="1:38">
      <c r="A87" s="283"/>
      <c r="B87" s="1"/>
      <c r="C87" s="358"/>
      <c r="D87" s="283"/>
      <c r="E87" s="283"/>
      <c r="F87" s="1"/>
      <c r="G87" s="1515"/>
      <c r="H87" s="1515"/>
      <c r="I87" s="1515"/>
      <c r="J87" s="1515"/>
      <c r="K87" s="1515"/>
      <c r="L87" s="1515"/>
      <c r="M87" s="1515"/>
      <c r="N87" s="1515"/>
      <c r="O87" s="1515"/>
      <c r="P87" s="1515"/>
      <c r="Q87" s="1515"/>
      <c r="R87" s="1515"/>
      <c r="S87" s="1515"/>
      <c r="T87" s="1515"/>
      <c r="U87" s="1515"/>
      <c r="V87" s="1515"/>
      <c r="W87" s="1515"/>
      <c r="X87" s="1515"/>
      <c r="Y87" s="1515"/>
      <c r="Z87" s="1515"/>
      <c r="AA87" s="1515"/>
      <c r="AB87" s="1515"/>
      <c r="AC87" s="1515"/>
      <c r="AD87" s="1515"/>
      <c r="AE87" s="1515"/>
      <c r="AF87" s="1515"/>
      <c r="AG87" s="1515"/>
      <c r="AH87" s="1515"/>
      <c r="AI87" s="1515"/>
      <c r="AJ87" s="1515"/>
      <c r="AK87" s="1515"/>
      <c r="AL87" s="1"/>
    </row>
    <row r="88" spans="1:38">
      <c r="A88" s="283"/>
      <c r="B88" s="1"/>
      <c r="C88" s="358"/>
      <c r="D88" s="283"/>
      <c r="E88" s="283" t="s">
        <v>280</v>
      </c>
      <c r="F88" s="283" t="s">
        <v>1099</v>
      </c>
      <c r="G88" s="283"/>
      <c r="H88" s="1"/>
      <c r="I88" s="1"/>
      <c r="J88" s="1"/>
      <c r="K88" s="1"/>
      <c r="L88" s="283"/>
      <c r="M88" s="283"/>
      <c r="N88" s="1"/>
      <c r="O88" s="1"/>
      <c r="P88" s="283"/>
      <c r="Q88" s="283"/>
      <c r="R88" s="283"/>
      <c r="S88" s="283"/>
      <c r="T88" s="283"/>
      <c r="U88" s="283"/>
      <c r="V88" s="283"/>
      <c r="W88" s="283"/>
      <c r="X88" s="283"/>
      <c r="Y88" s="283"/>
      <c r="Z88" s="283"/>
      <c r="AA88" s="283"/>
      <c r="AB88" s="283"/>
      <c r="AC88" s="1"/>
      <c r="AD88" s="1"/>
      <c r="AE88" s="1"/>
      <c r="AF88" s="1"/>
      <c r="AG88" s="1"/>
      <c r="AH88" s="1"/>
      <c r="AI88" s="1"/>
      <c r="AJ88" s="1"/>
      <c r="AK88" s="1"/>
      <c r="AL88" s="1"/>
    </row>
    <row r="89" spans="1:38">
      <c r="A89" s="283"/>
      <c r="B89" s="1"/>
      <c r="C89" s="358"/>
      <c r="D89" s="283"/>
      <c r="E89" s="283"/>
      <c r="F89" s="517"/>
      <c r="G89" s="1515" t="s">
        <v>1918</v>
      </c>
      <c r="H89" s="1515"/>
      <c r="I89" s="1515"/>
      <c r="J89" s="1515"/>
      <c r="K89" s="1515"/>
      <c r="L89" s="1515"/>
      <c r="M89" s="1515"/>
      <c r="N89" s="1515"/>
      <c r="O89" s="1515"/>
      <c r="P89" s="1515"/>
      <c r="Q89" s="1515"/>
      <c r="R89" s="1515"/>
      <c r="S89" s="1515"/>
      <c r="T89" s="1515"/>
      <c r="U89" s="1515"/>
      <c r="V89" s="1515"/>
      <c r="W89" s="1515"/>
      <c r="X89" s="1515"/>
      <c r="Y89" s="1515"/>
      <c r="Z89" s="1515"/>
      <c r="AA89" s="1515"/>
      <c r="AB89" s="1515"/>
      <c r="AC89" s="1515"/>
      <c r="AD89" s="1515"/>
      <c r="AE89" s="1515"/>
      <c r="AF89" s="1515"/>
      <c r="AG89" s="1515"/>
      <c r="AH89" s="1515"/>
      <c r="AI89" s="1515"/>
      <c r="AJ89" s="1515"/>
      <c r="AK89" s="1515"/>
      <c r="AL89" s="1"/>
    </row>
    <row r="90" spans="1:38">
      <c r="A90" s="283"/>
      <c r="B90" s="1"/>
      <c r="C90" s="358"/>
      <c r="D90" s="283"/>
      <c r="E90" s="283"/>
      <c r="F90" s="283"/>
      <c r="G90" s="1515"/>
      <c r="H90" s="1515"/>
      <c r="I90" s="1515"/>
      <c r="J90" s="1515"/>
      <c r="K90" s="1515"/>
      <c r="L90" s="1515"/>
      <c r="M90" s="1515"/>
      <c r="N90" s="1515"/>
      <c r="O90" s="1515"/>
      <c r="P90" s="1515"/>
      <c r="Q90" s="1515"/>
      <c r="R90" s="1515"/>
      <c r="S90" s="1515"/>
      <c r="T90" s="1515"/>
      <c r="U90" s="1515"/>
      <c r="V90" s="1515"/>
      <c r="W90" s="1515"/>
      <c r="X90" s="1515"/>
      <c r="Y90" s="1515"/>
      <c r="Z90" s="1515"/>
      <c r="AA90" s="1515"/>
      <c r="AB90" s="1515"/>
      <c r="AC90" s="1515"/>
      <c r="AD90" s="1515"/>
      <c r="AE90" s="1515"/>
      <c r="AF90" s="1515"/>
      <c r="AG90" s="1515"/>
      <c r="AH90" s="1515"/>
      <c r="AI90" s="1515"/>
      <c r="AJ90" s="1515"/>
      <c r="AK90" s="1515"/>
      <c r="AL90" s="1"/>
    </row>
    <row r="91" spans="1:38">
      <c r="A91" s="283"/>
      <c r="B91" s="1"/>
      <c r="C91" s="358"/>
      <c r="D91" s="283"/>
      <c r="E91" s="283"/>
      <c r="F91" s="283"/>
      <c r="G91" s="1515"/>
      <c r="H91" s="1515"/>
      <c r="I91" s="1515"/>
      <c r="J91" s="1515"/>
      <c r="K91" s="1515"/>
      <c r="L91" s="1515"/>
      <c r="M91" s="1515"/>
      <c r="N91" s="1515"/>
      <c r="O91" s="1515"/>
      <c r="P91" s="1515"/>
      <c r="Q91" s="1515"/>
      <c r="R91" s="1515"/>
      <c r="S91" s="1515"/>
      <c r="T91" s="1515"/>
      <c r="U91" s="1515"/>
      <c r="V91" s="1515"/>
      <c r="W91" s="1515"/>
      <c r="X91" s="1515"/>
      <c r="Y91" s="1515"/>
      <c r="Z91" s="1515"/>
      <c r="AA91" s="1515"/>
      <c r="AB91" s="1515"/>
      <c r="AC91" s="1515"/>
      <c r="AD91" s="1515"/>
      <c r="AE91" s="1515"/>
      <c r="AF91" s="1515"/>
      <c r="AG91" s="1515"/>
      <c r="AH91" s="1515"/>
      <c r="AI91" s="1515"/>
      <c r="AJ91" s="1515"/>
      <c r="AK91" s="1515"/>
      <c r="AL91" s="1"/>
    </row>
    <row r="92" spans="1:38">
      <c r="A92" s="283"/>
      <c r="B92" s="1"/>
      <c r="C92" s="358"/>
      <c r="D92" s="283"/>
      <c r="E92" s="283"/>
      <c r="F92" s="283"/>
      <c r="G92" s="1515"/>
      <c r="H92" s="1515"/>
      <c r="I92" s="1515"/>
      <c r="J92" s="1515"/>
      <c r="K92" s="1515"/>
      <c r="L92" s="1515"/>
      <c r="M92" s="1515"/>
      <c r="N92" s="1515"/>
      <c r="O92" s="1515"/>
      <c r="P92" s="1515"/>
      <c r="Q92" s="1515"/>
      <c r="R92" s="1515"/>
      <c r="S92" s="1515"/>
      <c r="T92" s="1515"/>
      <c r="U92" s="1515"/>
      <c r="V92" s="1515"/>
      <c r="W92" s="1515"/>
      <c r="X92" s="1515"/>
      <c r="Y92" s="1515"/>
      <c r="Z92" s="1515"/>
      <c r="AA92" s="1515"/>
      <c r="AB92" s="1515"/>
      <c r="AC92" s="1515"/>
      <c r="AD92" s="1515"/>
      <c r="AE92" s="1515"/>
      <c r="AF92" s="1515"/>
      <c r="AG92" s="1515"/>
      <c r="AH92" s="1515"/>
      <c r="AI92" s="1515"/>
      <c r="AJ92" s="1515"/>
      <c r="AK92" s="1515"/>
      <c r="AL92" s="1"/>
    </row>
    <row r="93" spans="1:38">
      <c r="A93" s="1074"/>
      <c r="B93" s="1075"/>
      <c r="C93" s="1076"/>
      <c r="D93" s="1074"/>
      <c r="E93" s="1074" t="s">
        <v>1098</v>
      </c>
      <c r="F93" s="1075" t="s">
        <v>1165</v>
      </c>
      <c r="G93" s="1074"/>
      <c r="H93" s="1075"/>
      <c r="I93" s="1075"/>
      <c r="J93" s="1075"/>
      <c r="K93" s="1075"/>
      <c r="L93" s="1074"/>
      <c r="M93" s="1074"/>
      <c r="N93" s="1075"/>
      <c r="O93" s="1075"/>
      <c r="P93" s="1074"/>
      <c r="Q93" s="1074"/>
      <c r="R93" s="1074"/>
      <c r="S93" s="1074"/>
      <c r="T93" s="1074"/>
      <c r="U93" s="1074"/>
      <c r="V93" s="1074"/>
      <c r="W93" s="1074"/>
      <c r="X93" s="1074"/>
      <c r="Y93" s="1074"/>
      <c r="Z93" s="1074"/>
      <c r="AA93" s="1074"/>
      <c r="AB93" s="1074"/>
      <c r="AC93" s="1075"/>
      <c r="AD93" s="1075"/>
      <c r="AE93" s="1075"/>
      <c r="AF93" s="1075"/>
      <c r="AG93" s="1075"/>
      <c r="AH93" s="1075"/>
      <c r="AI93" s="1075"/>
      <c r="AJ93" s="1075"/>
      <c r="AK93" s="1075"/>
      <c r="AL93" s="1075"/>
    </row>
    <row r="94" spans="1:38">
      <c r="A94" s="1074"/>
      <c r="B94" s="1075"/>
      <c r="C94" s="1076"/>
      <c r="D94" s="1074"/>
      <c r="E94" s="1074"/>
      <c r="F94" s="1075"/>
      <c r="G94" s="1529" t="s">
        <v>1919</v>
      </c>
      <c r="H94" s="1529"/>
      <c r="I94" s="1529"/>
      <c r="J94" s="1529"/>
      <c r="K94" s="1529"/>
      <c r="L94" s="1529"/>
      <c r="M94" s="1529"/>
      <c r="N94" s="1529"/>
      <c r="O94" s="1529"/>
      <c r="P94" s="1529"/>
      <c r="Q94" s="1529"/>
      <c r="R94" s="1529"/>
      <c r="S94" s="1529"/>
      <c r="T94" s="1529"/>
      <c r="U94" s="1529"/>
      <c r="V94" s="1529"/>
      <c r="W94" s="1529"/>
      <c r="X94" s="1529"/>
      <c r="Y94" s="1529"/>
      <c r="Z94" s="1529"/>
      <c r="AA94" s="1529"/>
      <c r="AB94" s="1529"/>
      <c r="AC94" s="1529"/>
      <c r="AD94" s="1529"/>
      <c r="AE94" s="1529"/>
      <c r="AF94" s="1529"/>
      <c r="AG94" s="1529"/>
      <c r="AH94" s="1529"/>
      <c r="AI94" s="1529"/>
      <c r="AJ94" s="1529"/>
      <c r="AK94" s="1529"/>
      <c r="AL94" s="1075"/>
    </row>
    <row r="95" spans="1:38">
      <c r="A95" s="1074"/>
      <c r="B95" s="1075"/>
      <c r="C95" s="1076"/>
      <c r="D95" s="1074"/>
      <c r="E95" s="1074"/>
      <c r="F95" s="1075"/>
      <c r="G95" s="1529"/>
      <c r="H95" s="1529"/>
      <c r="I95" s="1529"/>
      <c r="J95" s="1529"/>
      <c r="K95" s="1529"/>
      <c r="L95" s="1529"/>
      <c r="M95" s="1529"/>
      <c r="N95" s="1529"/>
      <c r="O95" s="1529"/>
      <c r="P95" s="1529"/>
      <c r="Q95" s="1529"/>
      <c r="R95" s="1529"/>
      <c r="S95" s="1529"/>
      <c r="T95" s="1529"/>
      <c r="U95" s="1529"/>
      <c r="V95" s="1529"/>
      <c r="W95" s="1529"/>
      <c r="X95" s="1529"/>
      <c r="Y95" s="1529"/>
      <c r="Z95" s="1529"/>
      <c r="AA95" s="1529"/>
      <c r="AB95" s="1529"/>
      <c r="AC95" s="1529"/>
      <c r="AD95" s="1529"/>
      <c r="AE95" s="1529"/>
      <c r="AF95" s="1529"/>
      <c r="AG95" s="1529"/>
      <c r="AH95" s="1529"/>
      <c r="AI95" s="1529"/>
      <c r="AJ95" s="1529"/>
      <c r="AK95" s="1529"/>
      <c r="AL95" s="1075"/>
    </row>
    <row r="96" spans="1:38">
      <c r="A96" s="1074"/>
      <c r="B96" s="1075"/>
      <c r="C96" s="1076"/>
      <c r="D96" s="1074"/>
      <c r="E96" s="1074"/>
      <c r="F96" s="1075"/>
      <c r="G96" s="1529"/>
      <c r="H96" s="1529"/>
      <c r="I96" s="1529"/>
      <c r="J96" s="1529"/>
      <c r="K96" s="1529"/>
      <c r="L96" s="1529"/>
      <c r="M96" s="1529"/>
      <c r="N96" s="1529"/>
      <c r="O96" s="1529"/>
      <c r="P96" s="1529"/>
      <c r="Q96" s="1529"/>
      <c r="R96" s="1529"/>
      <c r="S96" s="1529"/>
      <c r="T96" s="1529"/>
      <c r="U96" s="1529"/>
      <c r="V96" s="1529"/>
      <c r="W96" s="1529"/>
      <c r="X96" s="1529"/>
      <c r="Y96" s="1529"/>
      <c r="Z96" s="1529"/>
      <c r="AA96" s="1529"/>
      <c r="AB96" s="1529"/>
      <c r="AC96" s="1529"/>
      <c r="AD96" s="1529"/>
      <c r="AE96" s="1529"/>
      <c r="AF96" s="1529"/>
      <c r="AG96" s="1529"/>
      <c r="AH96" s="1529"/>
      <c r="AI96" s="1529"/>
      <c r="AJ96" s="1529"/>
      <c r="AK96" s="1529"/>
      <c r="AL96" s="1075"/>
    </row>
    <row r="97" spans="1:38">
      <c r="A97" s="1074"/>
      <c r="B97" s="1075"/>
      <c r="C97" s="1076"/>
      <c r="D97" s="1074"/>
      <c r="E97" s="1074"/>
      <c r="F97" s="1075"/>
      <c r="G97" s="1529"/>
      <c r="H97" s="1529"/>
      <c r="I97" s="1529"/>
      <c r="J97" s="1529"/>
      <c r="K97" s="1529"/>
      <c r="L97" s="1529"/>
      <c r="M97" s="1529"/>
      <c r="N97" s="1529"/>
      <c r="O97" s="1529"/>
      <c r="P97" s="1529"/>
      <c r="Q97" s="1529"/>
      <c r="R97" s="1529"/>
      <c r="S97" s="1529"/>
      <c r="T97" s="1529"/>
      <c r="U97" s="1529"/>
      <c r="V97" s="1529"/>
      <c r="W97" s="1529"/>
      <c r="X97" s="1529"/>
      <c r="Y97" s="1529"/>
      <c r="Z97" s="1529"/>
      <c r="AA97" s="1529"/>
      <c r="AB97" s="1529"/>
      <c r="AC97" s="1529"/>
      <c r="AD97" s="1529"/>
      <c r="AE97" s="1529"/>
      <c r="AF97" s="1529"/>
      <c r="AG97" s="1529"/>
      <c r="AH97" s="1529"/>
      <c r="AI97" s="1529"/>
      <c r="AJ97" s="1529"/>
      <c r="AK97" s="1529"/>
      <c r="AL97" s="1075"/>
    </row>
    <row r="98" spans="1:38">
      <c r="A98" s="283"/>
      <c r="B98" s="1"/>
      <c r="C98" s="358"/>
      <c r="D98" s="283"/>
      <c r="E98" s="283" t="s">
        <v>1100</v>
      </c>
      <c r="F98" s="283" t="s">
        <v>596</v>
      </c>
      <c r="G98" s="283"/>
      <c r="H98" s="283"/>
      <c r="I98" s="283"/>
      <c r="J98" s="283"/>
      <c r="K98" s="283"/>
      <c r="L98" s="283"/>
      <c r="M98" s="283"/>
      <c r="N98" s="1"/>
      <c r="O98" s="1"/>
      <c r="P98" s="283"/>
      <c r="Q98" s="283"/>
      <c r="R98" s="283"/>
      <c r="S98" s="283"/>
      <c r="T98" s="283"/>
      <c r="U98" s="283"/>
      <c r="V98" s="283"/>
      <c r="W98" s="283"/>
      <c r="X98" s="283"/>
      <c r="Y98" s="283"/>
      <c r="Z98" s="283"/>
      <c r="AA98" s="283"/>
      <c r="AB98" s="283"/>
      <c r="AC98" s="1"/>
      <c r="AD98" s="1"/>
      <c r="AE98" s="1"/>
      <c r="AF98" s="1"/>
      <c r="AG98" s="1"/>
      <c r="AH98" s="1"/>
      <c r="AI98" s="1"/>
      <c r="AJ98" s="1"/>
      <c r="AK98" s="1"/>
      <c r="AL98" s="1"/>
    </row>
    <row r="99" spans="1:38">
      <c r="A99" s="283"/>
      <c r="B99" s="1"/>
      <c r="C99" s="358"/>
      <c r="D99" s="283"/>
      <c r="E99" s="283"/>
      <c r="F99" s="283"/>
      <c r="G99" s="1515" t="s">
        <v>1920</v>
      </c>
      <c r="H99" s="1515"/>
      <c r="I99" s="1515"/>
      <c r="J99" s="1515"/>
      <c r="K99" s="1515"/>
      <c r="L99" s="1515"/>
      <c r="M99" s="1515"/>
      <c r="N99" s="1515"/>
      <c r="O99" s="1515"/>
      <c r="P99" s="1515"/>
      <c r="Q99" s="1515"/>
      <c r="R99" s="1515"/>
      <c r="S99" s="1515"/>
      <c r="T99" s="1515"/>
      <c r="U99" s="1515"/>
      <c r="V99" s="1515"/>
      <c r="W99" s="1515"/>
      <c r="X99" s="1515"/>
      <c r="Y99" s="1515"/>
      <c r="Z99" s="1515"/>
      <c r="AA99" s="1515"/>
      <c r="AB99" s="1515"/>
      <c r="AC99" s="1515"/>
      <c r="AD99" s="1515"/>
      <c r="AE99" s="1515"/>
      <c r="AF99" s="1515"/>
      <c r="AG99" s="1515"/>
      <c r="AH99" s="1515"/>
      <c r="AI99" s="1515"/>
      <c r="AJ99" s="1515"/>
      <c r="AK99" s="1515"/>
      <c r="AL99" s="1"/>
    </row>
    <row r="100" spans="1:38">
      <c r="A100" s="283"/>
      <c r="B100" s="1"/>
      <c r="C100" s="358"/>
      <c r="D100" s="283"/>
      <c r="E100" s="283"/>
      <c r="F100" s="1"/>
      <c r="G100" s="1515"/>
      <c r="H100" s="1515"/>
      <c r="I100" s="1515"/>
      <c r="J100" s="1515"/>
      <c r="K100" s="1515"/>
      <c r="L100" s="1515"/>
      <c r="M100" s="1515"/>
      <c r="N100" s="1515"/>
      <c r="O100" s="1515"/>
      <c r="P100" s="1515"/>
      <c r="Q100" s="1515"/>
      <c r="R100" s="1515"/>
      <c r="S100" s="1515"/>
      <c r="T100" s="1515"/>
      <c r="U100" s="1515"/>
      <c r="V100" s="1515"/>
      <c r="W100" s="1515"/>
      <c r="X100" s="1515"/>
      <c r="Y100" s="1515"/>
      <c r="Z100" s="1515"/>
      <c r="AA100" s="1515"/>
      <c r="AB100" s="1515"/>
      <c r="AC100" s="1515"/>
      <c r="AD100" s="1515"/>
      <c r="AE100" s="1515"/>
      <c r="AF100" s="1515"/>
      <c r="AG100" s="1515"/>
      <c r="AH100" s="1515"/>
      <c r="AI100" s="1515"/>
      <c r="AJ100" s="1515"/>
      <c r="AK100" s="1515"/>
      <c r="AL100" s="1"/>
    </row>
    <row r="101" spans="1:38">
      <c r="A101" s="283"/>
      <c r="B101" s="1"/>
      <c r="C101" s="358"/>
      <c r="D101" s="283"/>
      <c r="E101" s="283" t="s">
        <v>1101</v>
      </c>
      <c r="F101" s="283" t="s">
        <v>1102</v>
      </c>
      <c r="G101" s="283"/>
      <c r="H101" s="283"/>
      <c r="I101" s="283"/>
      <c r="J101" s="283"/>
      <c r="K101" s="283"/>
      <c r="L101" s="283"/>
      <c r="M101" s="283"/>
      <c r="N101" s="1"/>
      <c r="O101" s="1"/>
      <c r="P101" s="283"/>
      <c r="Q101" s="283"/>
      <c r="R101" s="283"/>
      <c r="S101" s="283"/>
      <c r="T101" s="283"/>
      <c r="U101" s="283"/>
      <c r="V101" s="283"/>
      <c r="W101" s="283"/>
      <c r="X101" s="283"/>
      <c r="Y101" s="283"/>
      <c r="Z101" s="283"/>
      <c r="AA101" s="283"/>
      <c r="AB101" s="283"/>
      <c r="AC101" s="1"/>
      <c r="AD101" s="1"/>
      <c r="AE101" s="1"/>
      <c r="AF101" s="1"/>
      <c r="AG101" s="1"/>
      <c r="AH101" s="1"/>
      <c r="AI101" s="1"/>
      <c r="AJ101" s="1"/>
      <c r="AK101" s="1"/>
      <c r="AL101" s="1"/>
    </row>
    <row r="102" spans="1:38">
      <c r="A102" s="283"/>
      <c r="B102" s="1"/>
      <c r="C102" s="358"/>
      <c r="D102" s="283"/>
      <c r="E102" s="283"/>
      <c r="F102" s="283"/>
      <c r="G102" s="1515" t="s">
        <v>1921</v>
      </c>
      <c r="H102" s="1515"/>
      <c r="I102" s="1515"/>
      <c r="J102" s="1515"/>
      <c r="K102" s="1515"/>
      <c r="L102" s="1515"/>
      <c r="M102" s="1515"/>
      <c r="N102" s="1515"/>
      <c r="O102" s="1515"/>
      <c r="P102" s="1515"/>
      <c r="Q102" s="1515"/>
      <c r="R102" s="1515"/>
      <c r="S102" s="1515"/>
      <c r="T102" s="1515"/>
      <c r="U102" s="1515"/>
      <c r="V102" s="1515"/>
      <c r="W102" s="1515"/>
      <c r="X102" s="1515"/>
      <c r="Y102" s="1515"/>
      <c r="Z102" s="1515"/>
      <c r="AA102" s="1515"/>
      <c r="AB102" s="1515"/>
      <c r="AC102" s="1515"/>
      <c r="AD102" s="1515"/>
      <c r="AE102" s="1515"/>
      <c r="AF102" s="1515"/>
      <c r="AG102" s="1515"/>
      <c r="AH102" s="1515"/>
      <c r="AI102" s="1515"/>
      <c r="AJ102" s="1515"/>
      <c r="AK102" s="1515"/>
      <c r="AL102" s="1"/>
    </row>
    <row r="103" spans="1:38">
      <c r="A103" s="283"/>
      <c r="B103" s="1"/>
      <c r="C103" s="358"/>
      <c r="D103" s="283"/>
      <c r="E103" s="283"/>
      <c r="F103" s="1"/>
      <c r="G103" s="1515"/>
      <c r="H103" s="1515"/>
      <c r="I103" s="1515"/>
      <c r="J103" s="1515"/>
      <c r="K103" s="1515"/>
      <c r="L103" s="1515"/>
      <c r="M103" s="1515"/>
      <c r="N103" s="1515"/>
      <c r="O103" s="1515"/>
      <c r="P103" s="1515"/>
      <c r="Q103" s="1515"/>
      <c r="R103" s="1515"/>
      <c r="S103" s="1515"/>
      <c r="T103" s="1515"/>
      <c r="U103" s="1515"/>
      <c r="V103" s="1515"/>
      <c r="W103" s="1515"/>
      <c r="X103" s="1515"/>
      <c r="Y103" s="1515"/>
      <c r="Z103" s="1515"/>
      <c r="AA103" s="1515"/>
      <c r="AB103" s="1515"/>
      <c r="AC103" s="1515"/>
      <c r="AD103" s="1515"/>
      <c r="AE103" s="1515"/>
      <c r="AF103" s="1515"/>
      <c r="AG103" s="1515"/>
      <c r="AH103" s="1515"/>
      <c r="AI103" s="1515"/>
      <c r="AJ103" s="1515"/>
      <c r="AK103" s="1515"/>
      <c r="AL103" s="1"/>
    </row>
    <row r="104" spans="1:38">
      <c r="A104" s="283"/>
      <c r="B104" s="1"/>
      <c r="C104" s="358"/>
      <c r="D104" s="283"/>
      <c r="E104" s="283" t="s">
        <v>1103</v>
      </c>
      <c r="F104" s="283" t="s">
        <v>1104</v>
      </c>
      <c r="G104" s="283"/>
      <c r="H104" s="1"/>
      <c r="I104" s="1"/>
      <c r="J104" s="1"/>
      <c r="K104" s="1"/>
      <c r="L104" s="283"/>
      <c r="M104" s="283"/>
      <c r="N104" s="1"/>
      <c r="O104" s="1"/>
      <c r="P104" s="283"/>
      <c r="Q104" s="283"/>
      <c r="R104" s="283"/>
      <c r="S104" s="283"/>
      <c r="T104" s="283"/>
      <c r="U104" s="283"/>
      <c r="V104" s="283"/>
      <c r="W104" s="283"/>
      <c r="X104" s="283"/>
      <c r="Y104" s="283"/>
      <c r="Z104" s="283"/>
      <c r="AA104" s="283"/>
      <c r="AB104" s="283"/>
      <c r="AC104" s="1"/>
      <c r="AD104" s="1"/>
      <c r="AE104" s="1"/>
      <c r="AF104" s="1"/>
      <c r="AG104" s="1"/>
      <c r="AH104" s="1"/>
      <c r="AI104" s="1"/>
      <c r="AJ104" s="1"/>
      <c r="AK104" s="1"/>
      <c r="AL104" s="1"/>
    </row>
    <row r="105" spans="1:38">
      <c r="A105" s="283"/>
      <c r="B105" s="1"/>
      <c r="C105" s="358"/>
      <c r="D105" s="283"/>
      <c r="E105" s="283"/>
      <c r="F105" s="283"/>
      <c r="G105" s="1515" t="s">
        <v>1922</v>
      </c>
      <c r="H105" s="1515"/>
      <c r="I105" s="1515"/>
      <c r="J105" s="1515"/>
      <c r="K105" s="1515"/>
      <c r="L105" s="1515"/>
      <c r="M105" s="1515"/>
      <c r="N105" s="1515"/>
      <c r="O105" s="1515"/>
      <c r="P105" s="1515"/>
      <c r="Q105" s="1515"/>
      <c r="R105" s="1515"/>
      <c r="S105" s="1515"/>
      <c r="T105" s="1515"/>
      <c r="U105" s="1515"/>
      <c r="V105" s="1515"/>
      <c r="W105" s="1515"/>
      <c r="X105" s="1515"/>
      <c r="Y105" s="1515"/>
      <c r="Z105" s="1515"/>
      <c r="AA105" s="1515"/>
      <c r="AB105" s="1515"/>
      <c r="AC105" s="1515"/>
      <c r="AD105" s="1515"/>
      <c r="AE105" s="1515"/>
      <c r="AF105" s="1515"/>
      <c r="AG105" s="1515"/>
      <c r="AH105" s="1515"/>
      <c r="AI105" s="1515"/>
      <c r="AJ105" s="1515"/>
      <c r="AK105" s="1515"/>
      <c r="AL105" s="1"/>
    </row>
    <row r="106" spans="1:38">
      <c r="A106" s="288"/>
      <c r="B106" s="272"/>
      <c r="C106" s="359"/>
      <c r="D106" s="288"/>
      <c r="E106" s="288"/>
      <c r="F106" s="288"/>
      <c r="G106" s="1515"/>
      <c r="H106" s="1515"/>
      <c r="I106" s="1515"/>
      <c r="J106" s="1515"/>
      <c r="K106" s="1515"/>
      <c r="L106" s="1515"/>
      <c r="M106" s="1515"/>
      <c r="N106" s="1515"/>
      <c r="O106" s="1515"/>
      <c r="P106" s="1515"/>
      <c r="Q106" s="1515"/>
      <c r="R106" s="1515"/>
      <c r="S106" s="1515"/>
      <c r="T106" s="1515"/>
      <c r="U106" s="1515"/>
      <c r="V106" s="1515"/>
      <c r="W106" s="1515"/>
      <c r="X106" s="1515"/>
      <c r="Y106" s="1515"/>
      <c r="Z106" s="1515"/>
      <c r="AA106" s="1515"/>
      <c r="AB106" s="1515"/>
      <c r="AC106" s="1515"/>
      <c r="AD106" s="1515"/>
      <c r="AE106" s="1515"/>
      <c r="AF106" s="1515"/>
      <c r="AG106" s="1515"/>
      <c r="AH106" s="1515"/>
      <c r="AI106" s="1515"/>
      <c r="AJ106" s="1515"/>
      <c r="AK106" s="1515"/>
      <c r="AL106" s="272"/>
    </row>
    <row r="107" spans="1:38">
      <c r="A107" s="288"/>
      <c r="B107" s="272"/>
      <c r="C107" s="359"/>
      <c r="D107" s="359"/>
      <c r="E107" s="288"/>
      <c r="F107" s="288"/>
      <c r="G107" s="1515"/>
      <c r="H107" s="1515"/>
      <c r="I107" s="1515"/>
      <c r="J107" s="1515"/>
      <c r="K107" s="1515"/>
      <c r="L107" s="1515"/>
      <c r="M107" s="1515"/>
      <c r="N107" s="1515"/>
      <c r="O107" s="1515"/>
      <c r="P107" s="1515"/>
      <c r="Q107" s="1515"/>
      <c r="R107" s="1515"/>
      <c r="S107" s="1515"/>
      <c r="T107" s="1515"/>
      <c r="U107" s="1515"/>
      <c r="V107" s="1515"/>
      <c r="W107" s="1515"/>
      <c r="X107" s="1515"/>
      <c r="Y107" s="1515"/>
      <c r="Z107" s="1515"/>
      <c r="AA107" s="1515"/>
      <c r="AB107" s="1515"/>
      <c r="AC107" s="1515"/>
      <c r="AD107" s="1515"/>
      <c r="AE107" s="1515"/>
      <c r="AF107" s="1515"/>
      <c r="AG107" s="1515"/>
      <c r="AH107" s="1515"/>
      <c r="AI107" s="1515"/>
      <c r="AJ107" s="1515"/>
      <c r="AK107" s="1515"/>
      <c r="AL107" s="272"/>
    </row>
    <row r="108" spans="1:38">
      <c r="A108" s="283"/>
      <c r="B108" s="1"/>
      <c r="C108" s="358"/>
      <c r="D108" s="358"/>
      <c r="E108" s="283" t="s">
        <v>1136</v>
      </c>
      <c r="F108" s="283" t="s">
        <v>1137</v>
      </c>
      <c r="G108" s="283"/>
      <c r="H108" s="1"/>
      <c r="I108" s="1"/>
      <c r="J108" s="1"/>
      <c r="K108" s="1"/>
      <c r="L108" s="1"/>
      <c r="M108" s="1"/>
      <c r="N108" s="1"/>
      <c r="O108" s="1"/>
      <c r="P108" s="283"/>
      <c r="Q108" s="283"/>
      <c r="R108" s="283"/>
      <c r="S108" s="283"/>
      <c r="T108" s="283"/>
      <c r="U108" s="283"/>
      <c r="V108" s="283"/>
      <c r="W108" s="283"/>
      <c r="X108" s="283"/>
      <c r="Y108" s="283"/>
      <c r="Z108" s="283"/>
      <c r="AA108" s="283"/>
      <c r="AB108" s="283"/>
      <c r="AC108" s="1"/>
      <c r="AD108" s="1"/>
      <c r="AE108" s="1"/>
      <c r="AF108" s="1"/>
      <c r="AG108" s="1"/>
      <c r="AH108" s="1"/>
      <c r="AI108" s="1"/>
      <c r="AJ108" s="1"/>
      <c r="AK108" s="1"/>
      <c r="AL108" s="1"/>
    </row>
    <row r="109" spans="1:38">
      <c r="A109" s="283"/>
      <c r="B109" s="1"/>
      <c r="C109" s="358"/>
      <c r="D109" s="358"/>
      <c r="E109" s="283"/>
      <c r="F109" s="283"/>
      <c r="G109" s="1515" t="s">
        <v>1923</v>
      </c>
      <c r="H109" s="1515"/>
      <c r="I109" s="1515"/>
      <c r="J109" s="1515"/>
      <c r="K109" s="1515"/>
      <c r="L109" s="1515"/>
      <c r="M109" s="1515"/>
      <c r="N109" s="1515"/>
      <c r="O109" s="1515"/>
      <c r="P109" s="1515"/>
      <c r="Q109" s="1515"/>
      <c r="R109" s="1515"/>
      <c r="S109" s="1515"/>
      <c r="T109" s="1515"/>
      <c r="U109" s="1515"/>
      <c r="V109" s="1515"/>
      <c r="W109" s="1515"/>
      <c r="X109" s="1515"/>
      <c r="Y109" s="1515"/>
      <c r="Z109" s="1515"/>
      <c r="AA109" s="1515"/>
      <c r="AB109" s="1515"/>
      <c r="AC109" s="1515"/>
      <c r="AD109" s="1515"/>
      <c r="AE109" s="1515"/>
      <c r="AF109" s="1515"/>
      <c r="AG109" s="1515"/>
      <c r="AH109" s="1515"/>
      <c r="AI109" s="1515"/>
      <c r="AJ109" s="1515"/>
      <c r="AK109" s="1515"/>
      <c r="AL109" s="1"/>
    </row>
    <row r="110" spans="1:38">
      <c r="A110" s="283"/>
      <c r="B110" s="1"/>
      <c r="C110" s="358"/>
      <c r="D110" s="358"/>
      <c r="E110" s="283"/>
      <c r="F110" s="283"/>
      <c r="G110" s="1515"/>
      <c r="H110" s="1515"/>
      <c r="I110" s="1515"/>
      <c r="J110" s="1515"/>
      <c r="K110" s="1515"/>
      <c r="L110" s="1515"/>
      <c r="M110" s="1515"/>
      <c r="N110" s="1515"/>
      <c r="O110" s="1515"/>
      <c r="P110" s="1515"/>
      <c r="Q110" s="1515"/>
      <c r="R110" s="1515"/>
      <c r="S110" s="1515"/>
      <c r="T110" s="1515"/>
      <c r="U110" s="1515"/>
      <c r="V110" s="1515"/>
      <c r="W110" s="1515"/>
      <c r="X110" s="1515"/>
      <c r="Y110" s="1515"/>
      <c r="Z110" s="1515"/>
      <c r="AA110" s="1515"/>
      <c r="AB110" s="1515"/>
      <c r="AC110" s="1515"/>
      <c r="AD110" s="1515"/>
      <c r="AE110" s="1515"/>
      <c r="AF110" s="1515"/>
      <c r="AG110" s="1515"/>
      <c r="AH110" s="1515"/>
      <c r="AI110" s="1515"/>
      <c r="AJ110" s="1515"/>
      <c r="AK110" s="1515"/>
      <c r="AL110" s="1"/>
    </row>
    <row r="111" spans="1:38">
      <c r="A111" s="283"/>
      <c r="B111" s="1"/>
      <c r="C111" s="358"/>
      <c r="D111" s="358"/>
      <c r="E111" s="283"/>
      <c r="F111" s="283"/>
      <c r="G111" s="283" t="s">
        <v>1138</v>
      </c>
      <c r="H111" s="1"/>
      <c r="I111" s="1"/>
      <c r="J111" s="1"/>
      <c r="K111" s="1"/>
      <c r="L111" s="1"/>
      <c r="M111" s="1"/>
      <c r="N111" s="1"/>
      <c r="O111" s="1"/>
      <c r="P111" s="283"/>
      <c r="Q111" s="283"/>
      <c r="R111" s="283"/>
      <c r="S111" s="283"/>
      <c r="T111" s="283"/>
      <c r="U111" s="283"/>
      <c r="V111" s="283"/>
      <c r="W111" s="283"/>
      <c r="X111" s="283"/>
      <c r="Y111" s="283"/>
      <c r="Z111" s="283"/>
      <c r="AA111" s="283"/>
      <c r="AB111" s="283"/>
      <c r="AC111" s="1"/>
      <c r="AD111" s="1"/>
      <c r="AE111" s="1"/>
      <c r="AF111" s="1"/>
      <c r="AG111" s="1"/>
      <c r="AH111" s="1"/>
      <c r="AI111" s="1"/>
      <c r="AJ111" s="1"/>
      <c r="AK111" s="1"/>
      <c r="AL111" s="1"/>
    </row>
    <row r="112" spans="1:38">
      <c r="A112" s="283"/>
      <c r="B112" s="1"/>
      <c r="C112" s="1"/>
      <c r="D112" s="1077"/>
      <c r="E112" s="1523" t="s">
        <v>1924</v>
      </c>
      <c r="F112" s="1523"/>
      <c r="G112" s="1523"/>
      <c r="H112" s="1523"/>
      <c r="I112" s="1523"/>
      <c r="J112" s="1523"/>
      <c r="K112" s="1523"/>
      <c r="L112" s="1523"/>
      <c r="M112" s="1523"/>
      <c r="N112" s="1523"/>
      <c r="O112" s="1523"/>
      <c r="P112" s="1523"/>
      <c r="Q112" s="1523"/>
      <c r="R112" s="1523"/>
      <c r="S112" s="1523"/>
      <c r="T112" s="1523"/>
      <c r="U112" s="1523"/>
      <c r="V112" s="1523"/>
      <c r="W112" s="1523"/>
      <c r="X112" s="1523"/>
      <c r="Y112" s="1523"/>
      <c r="Z112" s="1523"/>
      <c r="AA112" s="1523"/>
      <c r="AB112" s="1523"/>
      <c r="AC112" s="1523"/>
      <c r="AD112" s="1523"/>
      <c r="AE112" s="1523"/>
      <c r="AF112" s="1523"/>
      <c r="AG112" s="1523"/>
      <c r="AH112" s="1523"/>
      <c r="AI112" s="1523"/>
      <c r="AJ112" s="1523"/>
      <c r="AK112" s="1523"/>
      <c r="AL112" s="1"/>
    </row>
    <row r="113" spans="1:38">
      <c r="A113" s="283"/>
      <c r="B113" s="1"/>
      <c r="C113" s="1"/>
      <c r="D113" s="1077"/>
      <c r="E113" s="1523"/>
      <c r="F113" s="1523"/>
      <c r="G113" s="1523"/>
      <c r="H113" s="1523"/>
      <c r="I113" s="1523"/>
      <c r="J113" s="1523"/>
      <c r="K113" s="1523"/>
      <c r="L113" s="1523"/>
      <c r="M113" s="1523"/>
      <c r="N113" s="1523"/>
      <c r="O113" s="1523"/>
      <c r="P113" s="1523"/>
      <c r="Q113" s="1523"/>
      <c r="R113" s="1523"/>
      <c r="S113" s="1523"/>
      <c r="T113" s="1523"/>
      <c r="U113" s="1523"/>
      <c r="V113" s="1523"/>
      <c r="W113" s="1523"/>
      <c r="X113" s="1523"/>
      <c r="Y113" s="1523"/>
      <c r="Z113" s="1523"/>
      <c r="AA113" s="1523"/>
      <c r="AB113" s="1523"/>
      <c r="AC113" s="1523"/>
      <c r="AD113" s="1523"/>
      <c r="AE113" s="1523"/>
      <c r="AF113" s="1523"/>
      <c r="AG113" s="1523"/>
      <c r="AH113" s="1523"/>
      <c r="AI113" s="1523"/>
      <c r="AJ113" s="1523"/>
      <c r="AK113" s="1523"/>
      <c r="AL113" s="1"/>
    </row>
    <row r="114" spans="1:38" s="1068" customFormat="1" ht="12.75" customHeight="1">
      <c r="A114" s="283"/>
      <c r="B114" s="1078"/>
      <c r="C114" s="1077"/>
      <c r="D114" s="1077"/>
      <c r="E114" s="1078"/>
      <c r="F114" s="1077"/>
      <c r="G114" s="1077"/>
      <c r="H114" s="1077"/>
      <c r="I114" s="358"/>
      <c r="J114" s="358"/>
      <c r="K114" s="358"/>
      <c r="L114" s="358"/>
      <c r="M114" s="358"/>
      <c r="N114" s="358"/>
      <c r="O114" s="1"/>
      <c r="P114" s="283"/>
      <c r="Q114" s="283"/>
      <c r="R114" s="283"/>
      <c r="S114" s="283"/>
      <c r="T114" s="283"/>
      <c r="U114" s="283"/>
      <c r="V114" s="283"/>
      <c r="W114" s="283"/>
      <c r="X114" s="283"/>
      <c r="Y114" s="283"/>
      <c r="Z114" s="283"/>
      <c r="AA114" s="283"/>
      <c r="AB114" s="283"/>
      <c r="AC114" s="1"/>
      <c r="AD114" s="1"/>
      <c r="AE114" s="1"/>
      <c r="AF114" s="1"/>
      <c r="AG114" s="1"/>
      <c r="AH114" s="1"/>
      <c r="AI114" s="1"/>
      <c r="AJ114" s="1"/>
      <c r="AK114" s="1"/>
      <c r="AL114" s="1"/>
    </row>
    <row r="115" spans="1:38">
      <c r="A115" s="12"/>
      <c r="B115" s="1066" t="s">
        <v>513</v>
      </c>
      <c r="C115" s="1066" t="s">
        <v>752</v>
      </c>
      <c r="D115" s="1066"/>
      <c r="E115" s="1066"/>
      <c r="F115" s="1066"/>
      <c r="G115" s="1066"/>
      <c r="H115" s="1066"/>
      <c r="I115" s="1066"/>
      <c r="J115" s="1066"/>
      <c r="K115" s="1066"/>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row>
    <row r="116" spans="1:38">
      <c r="A116" s="1"/>
      <c r="B116" s="358"/>
      <c r="C116" s="358"/>
      <c r="D116" s="358"/>
      <c r="E116" s="358"/>
      <c r="F116" s="358"/>
      <c r="G116" s="358"/>
      <c r="H116" s="358"/>
      <c r="I116" s="358"/>
      <c r="J116" s="358"/>
      <c r="K116" s="358"/>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row>
    <row r="117" spans="1:38">
      <c r="A117" s="1"/>
      <c r="B117" s="358"/>
      <c r="C117" s="358" t="s">
        <v>305</v>
      </c>
      <c r="D117" s="426"/>
      <c r="E117" s="358"/>
      <c r="F117" s="358"/>
      <c r="G117" s="358" t="s">
        <v>2138</v>
      </c>
      <c r="H117" s="358"/>
      <c r="I117" s="358"/>
      <c r="J117" s="426"/>
      <c r="K117" s="358"/>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426"/>
    </row>
    <row r="118" spans="1:38">
      <c r="A118" s="1"/>
      <c r="B118" s="358"/>
      <c r="C118" s="358"/>
      <c r="D118" s="358" t="s">
        <v>901</v>
      </c>
      <c r="E118" s="358" t="s">
        <v>2138</v>
      </c>
      <c r="F118" s="358"/>
      <c r="G118" s="358"/>
      <c r="H118" s="358"/>
      <c r="I118" s="358"/>
      <c r="J118" s="358"/>
      <c r="K118" s="358"/>
      <c r="L118" s="358"/>
      <c r="M118" s="358"/>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row>
    <row r="119" spans="1:38">
      <c r="A119" s="1"/>
      <c r="B119" s="358"/>
      <c r="C119" s="358"/>
      <c r="D119" s="1"/>
      <c r="E119" s="283" t="s">
        <v>1004</v>
      </c>
      <c r="F119" s="1079" t="s">
        <v>902</v>
      </c>
      <c r="G119" s="358"/>
      <c r="H119" s="358"/>
      <c r="I119" s="358"/>
      <c r="J119" s="358"/>
      <c r="K119" s="358"/>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row>
    <row r="120" spans="1:38">
      <c r="A120" s="1"/>
      <c r="B120" s="1"/>
      <c r="C120" s="1"/>
      <c r="D120" s="272"/>
      <c r="E120" s="288"/>
      <c r="F120" s="272" t="s">
        <v>904</v>
      </c>
      <c r="G120" s="272"/>
      <c r="H120" s="272"/>
      <c r="I120" s="272"/>
      <c r="J120" s="272"/>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row>
    <row r="121" spans="1:38" s="1069" customFormat="1">
      <c r="A121" s="1"/>
      <c r="B121" s="1"/>
      <c r="C121" s="1"/>
      <c r="D121" s="1"/>
      <c r="E121" s="283"/>
      <c r="F121" s="1" t="s">
        <v>905</v>
      </c>
      <c r="G121" s="426"/>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row>
    <row r="122" spans="1:38" s="1069" customFormat="1">
      <c r="A122" s="1"/>
      <c r="B122" s="1"/>
      <c r="C122" s="1"/>
      <c r="D122" s="1"/>
      <c r="E122" s="283"/>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row>
    <row r="123" spans="1:38">
      <c r="A123" s="1"/>
      <c r="B123" s="1"/>
      <c r="C123" s="1"/>
      <c r="D123" s="1"/>
      <c r="E123" s="283" t="s">
        <v>1005</v>
      </c>
      <c r="F123" s="1079" t="s">
        <v>906</v>
      </c>
      <c r="G123" s="358"/>
      <c r="H123" s="358"/>
      <c r="I123" s="358"/>
      <c r="J123" s="358"/>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row>
    <row r="124" spans="1:38">
      <c r="A124" s="1"/>
      <c r="B124" s="1"/>
      <c r="C124" s="1"/>
      <c r="D124" s="1"/>
      <c r="E124" s="283"/>
      <c r="F124" s="1" t="s">
        <v>907</v>
      </c>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row>
    <row r="125" spans="1:38">
      <c r="A125" s="1"/>
      <c r="B125" s="1"/>
      <c r="C125" s="1"/>
      <c r="D125" s="1"/>
      <c r="E125" s="283"/>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row>
    <row r="126" spans="1:38">
      <c r="A126" s="1"/>
      <c r="B126" s="1"/>
      <c r="C126" s="1"/>
      <c r="D126" s="1"/>
      <c r="E126" s="283" t="s">
        <v>1011</v>
      </c>
      <c r="F126" s="1079" t="s">
        <v>501</v>
      </c>
      <c r="G126" s="358"/>
      <c r="H126" s="358"/>
      <c r="I126" s="358"/>
      <c r="J126" s="358"/>
      <c r="K126" s="358"/>
      <c r="L126" s="358"/>
      <c r="M126" s="358"/>
      <c r="N126" s="358"/>
      <c r="O126" s="358"/>
      <c r="P126" s="358"/>
      <c r="Q126" s="1"/>
      <c r="R126" s="1"/>
      <c r="S126" s="1"/>
      <c r="T126" s="1"/>
      <c r="U126" s="1"/>
      <c r="V126" s="1"/>
      <c r="W126" s="1"/>
      <c r="X126" s="1"/>
      <c r="Y126" s="1"/>
      <c r="Z126" s="1"/>
      <c r="AA126" s="1"/>
      <c r="AB126" s="1"/>
      <c r="AC126" s="1"/>
      <c r="AD126" s="1"/>
      <c r="AE126" s="1"/>
      <c r="AF126" s="1"/>
      <c r="AG126" s="1"/>
      <c r="AH126" s="1"/>
      <c r="AI126" s="1"/>
      <c r="AJ126" s="1"/>
      <c r="AK126" s="1"/>
      <c r="AL126" s="1"/>
    </row>
    <row r="127" spans="1:38">
      <c r="A127" s="1"/>
      <c r="B127" s="1"/>
      <c r="C127" s="1"/>
      <c r="D127" s="1"/>
      <c r="E127" s="283"/>
      <c r="F127" s="283" t="s">
        <v>1311</v>
      </c>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row>
    <row r="128" spans="1:38">
      <c r="A128" s="1"/>
      <c r="B128" s="1"/>
      <c r="C128" s="1"/>
      <c r="D128" s="1"/>
      <c r="E128" s="283"/>
      <c r="F128" s="283" t="s">
        <v>1337</v>
      </c>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row>
    <row r="129" spans="1:38">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row>
    <row r="130" spans="1:38">
      <c r="A130" s="1"/>
      <c r="B130" s="1"/>
      <c r="C130" s="1"/>
      <c r="D130" s="1"/>
      <c r="E130" s="1" t="s">
        <v>480</v>
      </c>
      <c r="F130" s="1079" t="s">
        <v>1312</v>
      </c>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row>
    <row r="131" spans="1:38">
      <c r="A131" s="1"/>
      <c r="B131" s="1"/>
      <c r="C131" s="1"/>
      <c r="D131" s="1"/>
      <c r="E131" s="1"/>
      <c r="F131" s="283" t="s">
        <v>1166</v>
      </c>
      <c r="G131" s="283"/>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row>
    <row r="132" spans="1:38">
      <c r="A132" s="1"/>
      <c r="B132" s="1"/>
      <c r="C132" s="1"/>
      <c r="D132" s="1"/>
      <c r="E132" s="1"/>
      <c r="F132" s="1077" t="s">
        <v>2139</v>
      </c>
      <c r="G132" s="1077"/>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row>
    <row r="133" spans="1:38">
      <c r="A133" s="1"/>
      <c r="B133" s="1"/>
      <c r="C133" s="1"/>
      <c r="D133" s="1"/>
      <c r="E133" s="1"/>
      <c r="F133" s="1"/>
      <c r="G133" s="1077"/>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row>
    <row r="134" spans="1:38">
      <c r="A134" s="1"/>
      <c r="B134" s="1"/>
      <c r="C134" s="1"/>
      <c r="D134" s="1"/>
      <c r="E134" s="283" t="s">
        <v>188</v>
      </c>
      <c r="F134" s="1079" t="s">
        <v>568</v>
      </c>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row>
    <row r="135" spans="1:38">
      <c r="A135" s="1"/>
      <c r="B135" s="1"/>
      <c r="C135" s="1"/>
      <c r="D135" s="1"/>
      <c r="E135" s="283"/>
      <c r="F135" s="283" t="s">
        <v>1446</v>
      </c>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row>
    <row r="136" spans="1:38" ht="12.75" customHeight="1">
      <c r="A136" s="1"/>
      <c r="B136" s="358"/>
      <c r="C136" s="358"/>
      <c r="D136" s="1"/>
      <c r="E136" s="1"/>
      <c r="F136" s="358"/>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row>
    <row r="137" spans="1:38">
      <c r="A137" s="1"/>
      <c r="B137" s="358"/>
      <c r="C137" s="358" t="s">
        <v>306</v>
      </c>
      <c r="D137" s="1"/>
      <c r="E137" s="1"/>
      <c r="F137" s="1"/>
      <c r="G137" s="358" t="s">
        <v>569</v>
      </c>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row>
    <row r="138" spans="1:38">
      <c r="A138" s="1"/>
      <c r="B138" s="358"/>
      <c r="C138" s="358"/>
      <c r="D138" s="358" t="s">
        <v>901</v>
      </c>
      <c r="E138" s="1080" t="s">
        <v>720</v>
      </c>
      <c r="F138" s="358"/>
      <c r="G138" s="358"/>
      <c r="H138" s="358"/>
      <c r="I138" s="358"/>
      <c r="J138" s="358"/>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row>
    <row r="139" spans="1:38">
      <c r="A139" s="1"/>
      <c r="B139" s="358"/>
      <c r="C139" s="358"/>
      <c r="D139" s="1"/>
      <c r="E139" s="283" t="s">
        <v>1313</v>
      </c>
      <c r="F139" s="283"/>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row>
    <row r="140" spans="1:38">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row>
    <row r="141" spans="1:38">
      <c r="A141" s="1"/>
      <c r="B141" s="1"/>
      <c r="C141" s="1"/>
      <c r="D141" s="358" t="s">
        <v>514</v>
      </c>
      <c r="E141" s="358" t="s">
        <v>9</v>
      </c>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row>
    <row r="142" spans="1:38">
      <c r="A142" s="1"/>
      <c r="B142" s="1"/>
      <c r="C142" s="1"/>
      <c r="D142" s="1"/>
      <c r="E142" s="289" t="s">
        <v>1313</v>
      </c>
      <c r="F142" s="283"/>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row>
    <row r="143" spans="1:38">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row>
    <row r="144" spans="1:38">
      <c r="A144" s="1"/>
      <c r="B144" s="1"/>
      <c r="C144" s="1"/>
      <c r="D144" s="358" t="s">
        <v>932</v>
      </c>
      <c r="E144" s="358" t="s">
        <v>952</v>
      </c>
      <c r="F144" s="1"/>
      <c r="G144" s="358"/>
      <c r="H144" s="358"/>
      <c r="I144" s="358"/>
      <c r="J144" s="358"/>
      <c r="K144" s="358"/>
      <c r="L144" s="358"/>
      <c r="M144" s="358"/>
      <c r="N144" s="358"/>
      <c r="O144" s="1"/>
      <c r="P144" s="1"/>
      <c r="Q144" s="1"/>
      <c r="R144" s="1"/>
      <c r="S144" s="1"/>
      <c r="T144" s="1"/>
      <c r="U144" s="1"/>
      <c r="V144" s="1"/>
      <c r="W144" s="1"/>
      <c r="X144" s="1"/>
      <c r="Y144" s="1"/>
      <c r="Z144" s="1"/>
      <c r="AA144" s="1"/>
      <c r="AB144" s="1"/>
      <c r="AC144" s="1"/>
      <c r="AD144" s="1"/>
      <c r="AE144" s="1"/>
      <c r="AF144" s="1"/>
      <c r="AG144" s="1"/>
      <c r="AH144" s="1"/>
      <c r="AI144" s="1"/>
      <c r="AJ144" s="1"/>
      <c r="AK144" s="1"/>
      <c r="AL144" s="1"/>
    </row>
    <row r="145" spans="1:38">
      <c r="A145" s="1"/>
      <c r="B145" s="1"/>
      <c r="C145" s="1"/>
      <c r="D145" s="1"/>
      <c r="E145" s="1515" t="s">
        <v>1927</v>
      </c>
      <c r="F145" s="1515"/>
      <c r="G145" s="1515"/>
      <c r="H145" s="1515"/>
      <c r="I145" s="1515"/>
      <c r="J145" s="1515"/>
      <c r="K145" s="1515"/>
      <c r="L145" s="1515"/>
      <c r="M145" s="1515"/>
      <c r="N145" s="1515"/>
      <c r="O145" s="1515"/>
      <c r="P145" s="1515"/>
      <c r="Q145" s="1515"/>
      <c r="R145" s="1515"/>
      <c r="S145" s="1515"/>
      <c r="T145" s="1515"/>
      <c r="U145" s="1515"/>
      <c r="V145" s="1515"/>
      <c r="W145" s="1515"/>
      <c r="X145" s="1515"/>
      <c r="Y145" s="1515"/>
      <c r="Z145" s="1515"/>
      <c r="AA145" s="1515"/>
      <c r="AB145" s="1515"/>
      <c r="AC145" s="1515"/>
      <c r="AD145" s="1515"/>
      <c r="AE145" s="1515"/>
      <c r="AF145" s="1515"/>
      <c r="AG145" s="1515"/>
      <c r="AH145" s="1515"/>
      <c r="AI145" s="1515"/>
      <c r="AJ145" s="1515"/>
      <c r="AK145" s="1515"/>
      <c r="AL145" s="1"/>
    </row>
    <row r="146" spans="1:38">
      <c r="A146" s="1"/>
      <c r="B146" s="1"/>
      <c r="C146" s="1"/>
      <c r="D146" s="1"/>
      <c r="E146" s="1515"/>
      <c r="F146" s="1515"/>
      <c r="G146" s="1515"/>
      <c r="H146" s="1515"/>
      <c r="I146" s="1515"/>
      <c r="J146" s="1515"/>
      <c r="K146" s="1515"/>
      <c r="L146" s="1515"/>
      <c r="M146" s="1515"/>
      <c r="N146" s="1515"/>
      <c r="O146" s="1515"/>
      <c r="P146" s="1515"/>
      <c r="Q146" s="1515"/>
      <c r="R146" s="1515"/>
      <c r="S146" s="1515"/>
      <c r="T146" s="1515"/>
      <c r="U146" s="1515"/>
      <c r="V146" s="1515"/>
      <c r="W146" s="1515"/>
      <c r="X146" s="1515"/>
      <c r="Y146" s="1515"/>
      <c r="Z146" s="1515"/>
      <c r="AA146" s="1515"/>
      <c r="AB146" s="1515"/>
      <c r="AC146" s="1515"/>
      <c r="AD146" s="1515"/>
      <c r="AE146" s="1515"/>
      <c r="AF146" s="1515"/>
      <c r="AG146" s="1515"/>
      <c r="AH146" s="1515"/>
      <c r="AI146" s="1515"/>
      <c r="AJ146" s="1515"/>
      <c r="AK146" s="1515"/>
      <c r="AL146" s="1"/>
    </row>
    <row r="147" spans="1:38">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row>
    <row r="148" spans="1:38">
      <c r="A148" s="1"/>
      <c r="B148" s="1"/>
      <c r="C148" s="1"/>
      <c r="D148" s="358" t="s">
        <v>821</v>
      </c>
      <c r="E148" s="358" t="s">
        <v>840</v>
      </c>
      <c r="F148" s="1"/>
      <c r="G148" s="358"/>
      <c r="H148" s="358"/>
      <c r="I148" s="358"/>
      <c r="J148" s="358"/>
      <c r="K148" s="358"/>
      <c r="L148" s="358"/>
      <c r="M148" s="358"/>
      <c r="N148" s="358"/>
      <c r="O148" s="358"/>
      <c r="P148" s="358"/>
      <c r="Q148" s="358"/>
      <c r="R148" s="358"/>
      <c r="S148" s="358"/>
      <c r="T148" s="358"/>
      <c r="U148" s="358"/>
      <c r="V148" s="358"/>
      <c r="W148" s="358"/>
      <c r="X148" s="358"/>
      <c r="Y148" s="358"/>
      <c r="Z148" s="1"/>
      <c r="AA148" s="1"/>
      <c r="AB148" s="1"/>
      <c r="AC148" s="1"/>
      <c r="AD148" s="1"/>
      <c r="AE148" s="1"/>
      <c r="AF148" s="1"/>
      <c r="AG148" s="1"/>
      <c r="AH148" s="1"/>
      <c r="AI148" s="1"/>
      <c r="AJ148" s="1"/>
      <c r="AK148" s="1"/>
      <c r="AL148" s="1"/>
    </row>
    <row r="149" spans="1:38">
      <c r="A149" s="1"/>
      <c r="B149" s="1"/>
      <c r="C149" s="1"/>
      <c r="D149" s="1"/>
      <c r="E149" s="289" t="s">
        <v>1981</v>
      </c>
      <c r="F149" s="283"/>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row>
    <row r="150" spans="1:38">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row>
    <row r="151" spans="1:38">
      <c r="A151" s="1"/>
      <c r="B151" s="1"/>
      <c r="C151" s="1"/>
      <c r="D151" s="358" t="s">
        <v>553</v>
      </c>
      <c r="E151" s="358" t="s">
        <v>953</v>
      </c>
      <c r="F151" s="1"/>
      <c r="G151" s="358"/>
      <c r="H151" s="358"/>
      <c r="I151" s="358"/>
      <c r="J151" s="358"/>
      <c r="K151" s="358"/>
      <c r="L151" s="358"/>
      <c r="M151" s="358"/>
      <c r="N151" s="358"/>
      <c r="O151" s="358"/>
      <c r="P151" s="358"/>
      <c r="Q151" s="358"/>
      <c r="R151" s="358"/>
      <c r="S151" s="358"/>
      <c r="T151" s="358"/>
      <c r="U151" s="358"/>
      <c r="V151" s="358"/>
      <c r="W151" s="358"/>
      <c r="X151" s="358"/>
      <c r="Y151" s="358"/>
      <c r="Z151" s="358"/>
      <c r="AA151" s="358"/>
      <c r="AB151" s="358"/>
      <c r="AC151" s="358"/>
      <c r="AD151" s="358"/>
      <c r="AE151" s="358"/>
      <c r="AF151" s="1"/>
      <c r="AG151" s="1"/>
      <c r="AH151" s="1"/>
      <c r="AI151" s="1"/>
      <c r="AJ151" s="1"/>
      <c r="AK151" s="1"/>
      <c r="AL151" s="1"/>
    </row>
    <row r="152" spans="1:38">
      <c r="A152" s="1"/>
      <c r="B152" s="1"/>
      <c r="C152" s="1"/>
      <c r="D152" s="1"/>
      <c r="E152" s="1" t="s">
        <v>554</v>
      </c>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row>
    <row r="153" spans="1:38">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row>
    <row r="154" spans="1:38">
      <c r="A154" s="1"/>
      <c r="B154" s="1"/>
      <c r="C154" s="1"/>
      <c r="D154" s="358" t="s">
        <v>304</v>
      </c>
      <c r="E154" s="358" t="s">
        <v>1272</v>
      </c>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row>
    <row r="155" spans="1:38">
      <c r="A155" s="1"/>
      <c r="B155" s="1"/>
      <c r="C155" s="1"/>
      <c r="D155" s="1"/>
      <c r="E155" s="1" t="s">
        <v>1004</v>
      </c>
      <c r="F155" s="1" t="s">
        <v>555</v>
      </c>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row>
    <row r="156" spans="1:38">
      <c r="A156" s="1"/>
      <c r="B156" s="1"/>
      <c r="C156" s="1"/>
      <c r="D156" s="1"/>
      <c r="E156" s="1" t="s">
        <v>1005</v>
      </c>
      <c r="F156" s="1" t="s">
        <v>410</v>
      </c>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row>
    <row r="157" spans="1:38">
      <c r="A157" s="1"/>
      <c r="B157" s="1"/>
      <c r="C157" s="1"/>
      <c r="D157" s="1"/>
      <c r="E157" s="1"/>
      <c r="F157" s="1" t="s">
        <v>903</v>
      </c>
      <c r="G157" s="1" t="s">
        <v>954</v>
      </c>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row>
    <row r="158" spans="1:38">
      <c r="A158" s="1"/>
      <c r="B158" s="1"/>
      <c r="C158" s="1"/>
      <c r="D158" s="1"/>
      <c r="E158" s="1"/>
      <c r="F158" s="1" t="s">
        <v>79</v>
      </c>
      <c r="G158" s="1515" t="s">
        <v>1928</v>
      </c>
      <c r="H158" s="1515"/>
      <c r="I158" s="1515"/>
      <c r="J158" s="1515"/>
      <c r="K158" s="1515"/>
      <c r="L158" s="1515"/>
      <c r="M158" s="1515"/>
      <c r="N158" s="1515"/>
      <c r="O158" s="1515"/>
      <c r="P158" s="1515"/>
      <c r="Q158" s="1515"/>
      <c r="R158" s="1515"/>
      <c r="S158" s="1515"/>
      <c r="T158" s="1515"/>
      <c r="U158" s="1515"/>
      <c r="V158" s="1515"/>
      <c r="W158" s="1515"/>
      <c r="X158" s="1515"/>
      <c r="Y158" s="1515"/>
      <c r="Z158" s="1515"/>
      <c r="AA158" s="1515"/>
      <c r="AB158" s="1515"/>
      <c r="AC158" s="1515"/>
      <c r="AD158" s="1515"/>
      <c r="AE158" s="1515"/>
      <c r="AF158" s="1515"/>
      <c r="AG158" s="1515"/>
      <c r="AH158" s="1515"/>
      <c r="AI158" s="1515"/>
      <c r="AJ158" s="1515"/>
      <c r="AK158" s="1515"/>
      <c r="AL158" s="1"/>
    </row>
    <row r="159" spans="1:38">
      <c r="A159" s="1"/>
      <c r="B159" s="1"/>
      <c r="C159" s="1"/>
      <c r="D159" s="1"/>
      <c r="E159" s="1"/>
      <c r="F159" s="1"/>
      <c r="G159" s="1515"/>
      <c r="H159" s="1515"/>
      <c r="I159" s="1515"/>
      <c r="J159" s="1515"/>
      <c r="K159" s="1515"/>
      <c r="L159" s="1515"/>
      <c r="M159" s="1515"/>
      <c r="N159" s="1515"/>
      <c r="O159" s="1515"/>
      <c r="P159" s="1515"/>
      <c r="Q159" s="1515"/>
      <c r="R159" s="1515"/>
      <c r="S159" s="1515"/>
      <c r="T159" s="1515"/>
      <c r="U159" s="1515"/>
      <c r="V159" s="1515"/>
      <c r="W159" s="1515"/>
      <c r="X159" s="1515"/>
      <c r="Y159" s="1515"/>
      <c r="Z159" s="1515"/>
      <c r="AA159" s="1515"/>
      <c r="AB159" s="1515"/>
      <c r="AC159" s="1515"/>
      <c r="AD159" s="1515"/>
      <c r="AE159" s="1515"/>
      <c r="AF159" s="1515"/>
      <c r="AG159" s="1515"/>
      <c r="AH159" s="1515"/>
      <c r="AI159" s="1515"/>
      <c r="AJ159" s="1515"/>
      <c r="AK159" s="1515"/>
      <c r="AL159" s="1"/>
    </row>
    <row r="160" spans="1:38">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row>
    <row r="161" spans="1:38">
      <c r="A161" s="1"/>
      <c r="B161" s="1"/>
      <c r="C161" s="1"/>
      <c r="D161" s="358" t="s">
        <v>797</v>
      </c>
      <c r="E161" s="358" t="s">
        <v>1271</v>
      </c>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row>
    <row r="162" spans="1:38">
      <c r="A162" s="1"/>
      <c r="B162" s="1"/>
      <c r="C162" s="1"/>
      <c r="D162" s="1"/>
      <c r="E162" s="1363" t="s">
        <v>2195</v>
      </c>
      <c r="F162" s="1074"/>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row>
    <row r="163" spans="1:38">
      <c r="A163" s="1"/>
      <c r="B163" s="1"/>
      <c r="C163" s="1"/>
      <c r="D163" s="359"/>
      <c r="E163" s="359"/>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row>
    <row r="164" spans="1:38">
      <c r="A164" s="1"/>
      <c r="B164" s="1"/>
      <c r="C164" s="358" t="s">
        <v>368</v>
      </c>
      <c r="D164" s="1"/>
      <c r="E164" s="1"/>
      <c r="F164" s="1"/>
      <c r="G164" s="358" t="s">
        <v>570</v>
      </c>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row>
    <row r="165" spans="1:38">
      <c r="A165" s="1"/>
      <c r="B165" s="1"/>
      <c r="C165" s="358"/>
      <c r="D165" s="359" t="s">
        <v>901</v>
      </c>
      <c r="E165" s="359" t="s">
        <v>690</v>
      </c>
      <c r="F165" s="358"/>
      <c r="G165" s="358"/>
      <c r="H165" s="358"/>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row>
    <row r="166" spans="1:38">
      <c r="A166" s="1"/>
      <c r="B166" s="1"/>
      <c r="C166" s="1"/>
      <c r="D166" s="272"/>
      <c r="E166" s="1" t="s">
        <v>1105</v>
      </c>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row>
    <row r="167" spans="1:38">
      <c r="A167" s="1"/>
      <c r="B167" s="1"/>
      <c r="C167" s="1"/>
      <c r="D167" s="272"/>
      <c r="E167" s="272"/>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row>
    <row r="168" spans="1:38">
      <c r="A168" s="1"/>
      <c r="B168" s="1"/>
      <c r="C168" s="1"/>
      <c r="D168" s="359" t="s">
        <v>514</v>
      </c>
      <c r="E168" s="359" t="s">
        <v>920</v>
      </c>
      <c r="F168" s="358"/>
      <c r="G168" s="358"/>
      <c r="H168" s="358"/>
      <c r="I168" s="358"/>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row>
    <row r="169" spans="1:38">
      <c r="A169" s="1"/>
      <c r="B169" s="1"/>
      <c r="C169" s="1"/>
      <c r="D169" s="272"/>
      <c r="E169" s="283" t="s">
        <v>1315</v>
      </c>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row>
    <row r="170" spans="1:38">
      <c r="A170" s="1"/>
      <c r="B170" s="1"/>
      <c r="C170" s="1"/>
      <c r="D170" s="272"/>
      <c r="E170" s="283" t="s">
        <v>1314</v>
      </c>
      <c r="F170" s="1"/>
      <c r="G170" s="283"/>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row>
    <row r="171" spans="1:38">
      <c r="A171" s="1"/>
      <c r="B171" s="1"/>
      <c r="C171" s="1"/>
      <c r="D171" s="272"/>
      <c r="E171" s="272"/>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row>
    <row r="172" spans="1:38">
      <c r="A172" s="1"/>
      <c r="B172" s="1"/>
      <c r="C172" s="1"/>
      <c r="D172" s="359" t="s">
        <v>932</v>
      </c>
      <c r="E172" s="62" t="s">
        <v>699</v>
      </c>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row>
    <row r="173" spans="1:38">
      <c r="A173" s="1"/>
      <c r="B173" s="1"/>
      <c r="C173" s="1"/>
      <c r="D173" s="272"/>
      <c r="E173" s="272" t="s">
        <v>1004</v>
      </c>
      <c r="F173" s="283" t="s">
        <v>1316</v>
      </c>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row>
    <row r="174" spans="1:38">
      <c r="A174" s="1"/>
      <c r="B174" s="1"/>
      <c r="C174" s="1"/>
      <c r="D174" s="272"/>
      <c r="E174" s="288" t="s">
        <v>1005</v>
      </c>
      <c r="F174" s="283" t="s">
        <v>1317</v>
      </c>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row>
    <row r="175" spans="1:38">
      <c r="A175" s="1"/>
      <c r="B175" s="1"/>
      <c r="C175" s="1"/>
      <c r="D175" s="272"/>
      <c r="E175" s="288" t="s">
        <v>1011</v>
      </c>
      <c r="F175" s="1" t="s">
        <v>955</v>
      </c>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row>
    <row r="176" spans="1:38">
      <c r="A176" s="1"/>
      <c r="B176" s="1"/>
      <c r="C176" s="1"/>
      <c r="D176" s="272"/>
      <c r="E176" s="272"/>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row>
    <row r="177" spans="1:38">
      <c r="A177" s="1"/>
      <c r="B177" s="1"/>
      <c r="C177" s="1"/>
      <c r="D177" s="359" t="s">
        <v>821</v>
      </c>
      <c r="E177" s="359" t="s">
        <v>571</v>
      </c>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row>
    <row r="178" spans="1:38">
      <c r="A178" s="1"/>
      <c r="B178" s="1"/>
      <c r="C178" s="1"/>
      <c r="D178" s="272"/>
      <c r="E178" s="283" t="s">
        <v>1318</v>
      </c>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row>
    <row r="179" spans="1:38">
      <c r="A179" s="1"/>
      <c r="B179" s="1"/>
      <c r="C179" s="1"/>
      <c r="D179" s="272"/>
      <c r="E179" s="272"/>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row>
    <row r="180" spans="1:38">
      <c r="A180" s="1"/>
      <c r="B180" s="1"/>
      <c r="C180" s="1"/>
      <c r="D180" s="359" t="s">
        <v>553</v>
      </c>
      <c r="E180" s="359" t="s">
        <v>502</v>
      </c>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row>
    <row r="181" spans="1:38">
      <c r="A181" s="1"/>
      <c r="B181" s="1"/>
      <c r="C181" s="1"/>
      <c r="D181" s="272"/>
      <c r="E181" s="283" t="s">
        <v>1319</v>
      </c>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row>
    <row r="182" spans="1:38">
      <c r="A182" s="1"/>
      <c r="B182" s="1"/>
      <c r="C182" s="1"/>
      <c r="D182" s="272"/>
      <c r="E182" s="283" t="s">
        <v>1320</v>
      </c>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row>
    <row r="183" spans="1:38">
      <c r="A183" s="1"/>
      <c r="B183" s="1"/>
      <c r="C183" s="1"/>
      <c r="D183" s="272"/>
      <c r="E183" s="272"/>
      <c r="F183" s="1067" t="s">
        <v>883</v>
      </c>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row>
    <row r="184" spans="1:38">
      <c r="A184" s="1"/>
      <c r="B184" s="1"/>
      <c r="C184" s="1"/>
      <c r="D184" s="272"/>
      <c r="E184" s="272"/>
      <c r="F184" s="1067"/>
      <c r="G184" s="1"/>
      <c r="H184" s="1"/>
      <c r="I184" s="1067"/>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row>
    <row r="185" spans="1:38">
      <c r="A185" s="1"/>
      <c r="B185" s="1"/>
      <c r="C185" s="1"/>
      <c r="D185" s="359" t="s">
        <v>304</v>
      </c>
      <c r="E185" s="359" t="s">
        <v>202</v>
      </c>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row>
    <row r="186" spans="1:38">
      <c r="A186" s="1"/>
      <c r="B186" s="1"/>
      <c r="C186" s="1"/>
      <c r="D186" s="272"/>
      <c r="E186" s="272" t="s">
        <v>1004</v>
      </c>
      <c r="F186" s="1" t="s">
        <v>318</v>
      </c>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row>
    <row r="187" spans="1:38">
      <c r="A187" s="1"/>
      <c r="B187" s="1"/>
      <c r="C187" s="1"/>
      <c r="D187" s="1"/>
      <c r="E187" s="272" t="s">
        <v>1005</v>
      </c>
      <c r="F187" s="1" t="s">
        <v>430</v>
      </c>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row>
    <row r="188" spans="1:38">
      <c r="A188" s="1"/>
      <c r="B188" s="1"/>
      <c r="C188" s="1"/>
      <c r="D188" s="1"/>
      <c r="E188" s="1"/>
      <c r="F188" s="283"/>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row>
    <row r="189" spans="1:38">
      <c r="A189" s="1"/>
      <c r="B189" s="1"/>
      <c r="C189" s="358" t="s">
        <v>369</v>
      </c>
      <c r="D189" s="1"/>
      <c r="E189" s="283"/>
      <c r="F189" s="1"/>
      <c r="G189" s="358" t="s">
        <v>572</v>
      </c>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row>
    <row r="190" spans="1:38">
      <c r="A190" s="1"/>
      <c r="B190" s="1"/>
      <c r="C190" s="1"/>
      <c r="D190" s="1"/>
      <c r="E190" s="1074" t="s">
        <v>1167</v>
      </c>
      <c r="F190" s="1074"/>
      <c r="G190" s="1"/>
      <c r="H190" s="1"/>
      <c r="I190" s="283"/>
      <c r="J190" s="283"/>
      <c r="K190" s="283"/>
      <c r="L190" s="283"/>
      <c r="M190" s="283"/>
      <c r="N190" s="283"/>
      <c r="O190" s="283"/>
      <c r="P190" s="283"/>
      <c r="Q190" s="283"/>
      <c r="R190" s="283"/>
      <c r="S190" s="283"/>
      <c r="T190" s="283"/>
      <c r="U190" s="1"/>
      <c r="V190" s="1"/>
      <c r="W190" s="1"/>
      <c r="X190" s="1"/>
      <c r="Y190" s="1"/>
      <c r="Z190" s="1"/>
      <c r="AA190" s="1"/>
      <c r="AB190" s="1"/>
      <c r="AC190" s="1"/>
      <c r="AD190" s="1"/>
      <c r="AE190" s="1"/>
      <c r="AF190" s="1"/>
      <c r="AG190" s="1"/>
      <c r="AH190" s="1"/>
      <c r="AI190" s="1"/>
      <c r="AJ190" s="1"/>
      <c r="AK190" s="1"/>
      <c r="AL190" s="1"/>
    </row>
    <row r="191" spans="1:38">
      <c r="A191" s="1"/>
      <c r="B191" s="1"/>
      <c r="C191" s="1"/>
      <c r="D191" s="1"/>
      <c r="E191" s="1"/>
      <c r="F191" s="283"/>
      <c r="G191" s="1"/>
      <c r="H191" s="283"/>
      <c r="I191" s="283"/>
      <c r="J191" s="283"/>
      <c r="K191" s="283"/>
      <c r="L191" s="283"/>
      <c r="M191" s="283"/>
      <c r="N191" s="283"/>
      <c r="O191" s="283"/>
      <c r="P191" s="283"/>
      <c r="Q191" s="283"/>
      <c r="R191" s="283"/>
      <c r="S191" s="283"/>
      <c r="T191" s="283"/>
      <c r="U191" s="1"/>
      <c r="V191" s="1"/>
      <c r="W191" s="1"/>
      <c r="X191" s="1"/>
      <c r="Y191" s="1"/>
      <c r="Z191" s="1"/>
      <c r="AA191" s="1"/>
      <c r="AB191" s="1"/>
      <c r="AC191" s="1"/>
      <c r="AD191" s="1"/>
      <c r="AE191" s="1"/>
      <c r="AF191" s="1"/>
      <c r="AG191" s="1"/>
      <c r="AH191" s="1"/>
      <c r="AI191" s="1"/>
      <c r="AJ191" s="1"/>
      <c r="AK191" s="1"/>
      <c r="AL191" s="1"/>
    </row>
    <row r="192" spans="1:38">
      <c r="A192" s="1"/>
      <c r="B192" s="1"/>
      <c r="C192" s="358" t="s">
        <v>370</v>
      </c>
      <c r="D192" s="358"/>
      <c r="E192" s="1"/>
      <c r="F192" s="283"/>
      <c r="G192" s="358" t="s">
        <v>9</v>
      </c>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row>
    <row r="193" spans="1:38">
      <c r="A193" s="1"/>
      <c r="B193" s="1"/>
      <c r="C193" s="1"/>
      <c r="D193" s="358" t="s">
        <v>901</v>
      </c>
      <c r="E193" s="358" t="s">
        <v>431</v>
      </c>
      <c r="F193" s="1"/>
      <c r="G193" s="283"/>
      <c r="H193" s="283"/>
      <c r="I193" s="283"/>
      <c r="J193" s="283"/>
      <c r="K193" s="283"/>
      <c r="L193" s="283"/>
      <c r="M193" s="283"/>
      <c r="N193" s="283"/>
      <c r="O193" s="1"/>
      <c r="P193" s="1"/>
      <c r="Q193" s="1"/>
      <c r="R193" s="1"/>
      <c r="S193" s="1"/>
      <c r="T193" s="1"/>
      <c r="U193" s="1"/>
      <c r="V193" s="1"/>
      <c r="W193" s="1"/>
      <c r="X193" s="1"/>
      <c r="Y193" s="1"/>
      <c r="Z193" s="1"/>
      <c r="AA193" s="1"/>
      <c r="AB193" s="1"/>
      <c r="AC193" s="1"/>
      <c r="AD193" s="1"/>
      <c r="AE193" s="1"/>
      <c r="AF193" s="1"/>
      <c r="AG193" s="1"/>
      <c r="AH193" s="1"/>
      <c r="AI193" s="1"/>
      <c r="AJ193" s="1"/>
      <c r="AK193" s="1"/>
      <c r="AL193" s="1"/>
    </row>
    <row r="194" spans="1:38">
      <c r="A194" s="1"/>
      <c r="B194" s="1"/>
      <c r="C194" s="1"/>
      <c r="D194" s="1"/>
      <c r="E194" s="1" t="s">
        <v>1004</v>
      </c>
      <c r="F194" s="1074" t="s">
        <v>1321</v>
      </c>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row>
    <row r="195" spans="1:38">
      <c r="A195" s="1"/>
      <c r="B195" s="1"/>
      <c r="C195" s="1"/>
      <c r="D195" s="1"/>
      <c r="E195" s="1"/>
      <c r="F195" s="1067" t="s">
        <v>1788</v>
      </c>
      <c r="G195" s="1"/>
      <c r="H195" s="1"/>
      <c r="I195" s="1067"/>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row>
    <row r="196" spans="1:38">
      <c r="A196" s="1"/>
      <c r="B196" s="1"/>
      <c r="C196" s="1"/>
      <c r="D196" s="1"/>
      <c r="E196" s="1"/>
      <c r="F196" s="1"/>
      <c r="G196" s="1"/>
      <c r="H196" s="1"/>
      <c r="I196" s="1067"/>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row>
    <row r="197" spans="1:38">
      <c r="A197" s="1"/>
      <c r="B197" s="283"/>
      <c r="C197" s="283"/>
      <c r="D197" s="1"/>
      <c r="E197" s="1" t="s">
        <v>1005</v>
      </c>
      <c r="F197" s="1074" t="s">
        <v>1168</v>
      </c>
      <c r="G197" s="1"/>
      <c r="H197" s="283"/>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row>
    <row r="198" spans="1:38">
      <c r="A198" s="1"/>
      <c r="B198" s="283"/>
      <c r="C198" s="283"/>
      <c r="D198" s="1"/>
      <c r="E198" s="1"/>
      <c r="F198" s="1" t="s">
        <v>903</v>
      </c>
      <c r="G198" s="1" t="s">
        <v>348</v>
      </c>
      <c r="H198" s="283"/>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row>
    <row r="199" spans="1:38">
      <c r="A199" s="1"/>
      <c r="B199" s="283"/>
      <c r="C199" s="283"/>
      <c r="D199" s="1"/>
      <c r="E199" s="1"/>
      <c r="F199" s="1"/>
      <c r="G199" s="1"/>
      <c r="H199" s="283"/>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row>
    <row r="200" spans="1:38">
      <c r="A200" s="1"/>
      <c r="B200" s="1"/>
      <c r="C200" s="1"/>
      <c r="D200" s="358" t="s">
        <v>514</v>
      </c>
      <c r="E200" s="62" t="s">
        <v>2052</v>
      </c>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row>
    <row r="201" spans="1:38">
      <c r="A201" s="1"/>
      <c r="B201" s="283"/>
      <c r="C201" s="283"/>
      <c r="D201" s="1"/>
      <c r="E201" s="283" t="s">
        <v>352</v>
      </c>
      <c r="F201" s="283"/>
      <c r="G201" s="1"/>
      <c r="H201" s="1"/>
      <c r="I201" s="283"/>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row>
    <row r="202" spans="1:38">
      <c r="A202" s="1"/>
      <c r="B202" s="283"/>
      <c r="C202" s="283"/>
      <c r="D202" s="1"/>
      <c r="E202" s="283" t="s">
        <v>1447</v>
      </c>
      <c r="F202" s="1067"/>
      <c r="G202" s="283"/>
      <c r="H202" s="1"/>
      <c r="I202" s="1067"/>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row>
    <row r="203" spans="1:38">
      <c r="A203" s="1"/>
      <c r="B203" s="283"/>
      <c r="C203" s="283"/>
      <c r="D203" s="1"/>
      <c r="E203" s="1"/>
      <c r="F203" s="1067"/>
      <c r="G203" s="283"/>
      <c r="H203" s="1"/>
      <c r="I203" s="1067"/>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row>
    <row r="204" spans="1:38">
      <c r="A204" s="1"/>
      <c r="B204" s="283"/>
      <c r="C204" s="283"/>
      <c r="D204" s="358" t="s">
        <v>932</v>
      </c>
      <c r="E204" s="358" t="s">
        <v>71</v>
      </c>
      <c r="F204" s="1067"/>
      <c r="G204" s="283"/>
      <c r="H204" s="1"/>
      <c r="I204" s="1067"/>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row>
    <row r="205" spans="1:38">
      <c r="A205" s="1"/>
      <c r="B205" s="283"/>
      <c r="C205" s="283"/>
      <c r="D205" s="358"/>
      <c r="E205" s="283" t="s">
        <v>427</v>
      </c>
      <c r="F205" s="283"/>
      <c r="G205" s="283"/>
      <c r="H205" s="1"/>
      <c r="I205" s="1067"/>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row>
    <row r="206" spans="1:38">
      <c r="A206" s="1"/>
      <c r="B206" s="283"/>
      <c r="C206" s="283"/>
      <c r="D206" s="1"/>
      <c r="E206" s="1"/>
      <c r="F206" s="1067"/>
      <c r="G206" s="283"/>
      <c r="H206" s="1"/>
      <c r="I206" s="1067"/>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row>
    <row r="207" spans="1:38">
      <c r="A207" s="1"/>
      <c r="B207" s="1"/>
      <c r="C207" s="1"/>
      <c r="D207" s="358" t="s">
        <v>821</v>
      </c>
      <c r="E207" s="358" t="s">
        <v>1003</v>
      </c>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row>
    <row r="208" spans="1:38">
      <c r="A208" s="1"/>
      <c r="B208" s="283"/>
      <c r="C208" s="358"/>
      <c r="D208" s="1"/>
      <c r="E208" s="1" t="s">
        <v>1004</v>
      </c>
      <c r="F208" s="283" t="s">
        <v>591</v>
      </c>
      <c r="G208" s="283"/>
      <c r="H208" s="283"/>
      <c r="I208" s="283"/>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row>
    <row r="209" spans="1:38">
      <c r="A209" s="1"/>
      <c r="B209" s="283"/>
      <c r="C209" s="358"/>
      <c r="D209" s="1"/>
      <c r="E209" s="1"/>
      <c r="F209" s="283" t="s">
        <v>903</v>
      </c>
      <c r="G209" s="289" t="s">
        <v>1966</v>
      </c>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row>
    <row r="210" spans="1:38">
      <c r="A210" s="1"/>
      <c r="B210" s="283"/>
      <c r="C210" s="283"/>
      <c r="D210" s="1"/>
      <c r="E210" s="1"/>
      <c r="F210" s="283" t="s">
        <v>79</v>
      </c>
      <c r="G210" s="289" t="s">
        <v>1967</v>
      </c>
      <c r="H210" s="1"/>
      <c r="I210" s="283"/>
      <c r="J210" s="283"/>
      <c r="K210" s="1"/>
      <c r="L210" s="1"/>
      <c r="M210" s="283"/>
      <c r="N210" s="283"/>
      <c r="O210" s="283"/>
      <c r="P210" s="283"/>
      <c r="Q210" s="283"/>
      <c r="R210" s="283"/>
      <c r="S210" s="283"/>
      <c r="T210" s="1"/>
      <c r="U210" s="1"/>
      <c r="V210" s="1"/>
      <c r="W210" s="1"/>
      <c r="X210" s="1"/>
      <c r="Y210" s="1"/>
      <c r="Z210" s="1"/>
      <c r="AA210" s="1"/>
      <c r="AB210" s="1"/>
      <c r="AC210" s="1"/>
      <c r="AD210" s="1"/>
      <c r="AE210" s="1"/>
      <c r="AF210" s="1"/>
      <c r="AG210" s="1"/>
      <c r="AH210" s="1"/>
      <c r="AI210" s="1"/>
      <c r="AJ210" s="1"/>
      <c r="AK210" s="1"/>
      <c r="AL210" s="1"/>
    </row>
    <row r="211" spans="1:38">
      <c r="A211" s="1"/>
      <c r="B211" s="283"/>
      <c r="C211" s="283"/>
      <c r="D211" s="1"/>
      <c r="E211" s="1"/>
      <c r="F211" s="283" t="s">
        <v>594</v>
      </c>
      <c r="G211" s="283" t="s">
        <v>1322</v>
      </c>
      <c r="H211" s="1"/>
      <c r="I211" s="283"/>
      <c r="J211" s="283"/>
      <c r="K211" s="1"/>
      <c r="L211" s="1"/>
      <c r="M211" s="283"/>
      <c r="N211" s="283"/>
      <c r="O211" s="283"/>
      <c r="P211" s="283"/>
      <c r="Q211" s="283"/>
      <c r="R211" s="283"/>
      <c r="S211" s="283"/>
      <c r="T211" s="1"/>
      <c r="U211" s="1"/>
      <c r="V211" s="1"/>
      <c r="W211" s="1"/>
      <c r="X211" s="1"/>
      <c r="Y211" s="1"/>
      <c r="Z211" s="1"/>
      <c r="AA211" s="1"/>
      <c r="AB211" s="1"/>
      <c r="AC211" s="1"/>
      <c r="AD211" s="1"/>
      <c r="AE211" s="1"/>
      <c r="AF211" s="1"/>
      <c r="AG211" s="1"/>
      <c r="AH211" s="1"/>
      <c r="AI211" s="1"/>
      <c r="AJ211" s="1"/>
      <c r="AK211" s="1"/>
      <c r="AL211" s="1"/>
    </row>
    <row r="212" spans="1:38">
      <c r="A212" s="1"/>
      <c r="B212" s="283"/>
      <c r="C212" s="283"/>
      <c r="D212" s="1"/>
      <c r="E212" s="1"/>
      <c r="F212" s="283"/>
      <c r="G212" s="283"/>
      <c r="H212" s="1"/>
      <c r="I212" s="283"/>
      <c r="J212" s="283"/>
      <c r="K212" s="1"/>
      <c r="L212" s="1"/>
      <c r="M212" s="283"/>
      <c r="N212" s="283"/>
      <c r="O212" s="283"/>
      <c r="P212" s="283"/>
      <c r="Q212" s="283"/>
      <c r="R212" s="283"/>
      <c r="S212" s="283"/>
      <c r="T212" s="1"/>
      <c r="U212" s="1"/>
      <c r="V212" s="1"/>
      <c r="W212" s="1"/>
      <c r="X212" s="1"/>
      <c r="Y212" s="1"/>
      <c r="Z212" s="1"/>
      <c r="AA212" s="1"/>
      <c r="AB212" s="1"/>
      <c r="AC212" s="1"/>
      <c r="AD212" s="1"/>
      <c r="AE212" s="1"/>
      <c r="AF212" s="1"/>
      <c r="AG212" s="1"/>
      <c r="AH212" s="1"/>
      <c r="AI212" s="1"/>
      <c r="AJ212" s="1"/>
      <c r="AK212" s="1"/>
      <c r="AL212" s="1"/>
    </row>
    <row r="213" spans="1:38">
      <c r="A213" s="1"/>
      <c r="B213" s="283"/>
      <c r="C213" s="283"/>
      <c r="D213" s="358" t="s">
        <v>553</v>
      </c>
      <c r="E213" s="358" t="s">
        <v>1006</v>
      </c>
      <c r="F213" s="1"/>
      <c r="G213" s="283"/>
      <c r="H213" s="283"/>
      <c r="I213" s="283"/>
      <c r="J213" s="283"/>
      <c r="K213" s="1"/>
      <c r="L213" s="1"/>
      <c r="M213" s="283"/>
      <c r="N213" s="283"/>
      <c r="O213" s="283"/>
      <c r="P213" s="283"/>
      <c r="Q213" s="283"/>
      <c r="R213" s="283"/>
      <c r="S213" s="283"/>
      <c r="T213" s="1"/>
      <c r="U213" s="1"/>
      <c r="V213" s="1"/>
      <c r="W213" s="1"/>
      <c r="X213" s="1"/>
      <c r="Y213" s="1"/>
      <c r="Z213" s="1"/>
      <c r="AA213" s="1"/>
      <c r="AB213" s="1"/>
      <c r="AC213" s="1"/>
      <c r="AD213" s="1"/>
      <c r="AE213" s="1"/>
      <c r="AF213" s="1"/>
      <c r="AG213" s="1"/>
      <c r="AH213" s="1"/>
      <c r="AI213" s="1"/>
      <c r="AJ213" s="1"/>
      <c r="AK213" s="1"/>
      <c r="AL213" s="1"/>
    </row>
    <row r="214" spans="1:38">
      <c r="A214" s="1"/>
      <c r="B214" s="283"/>
      <c r="C214" s="283"/>
      <c r="D214" s="283"/>
      <c r="E214" s="283" t="s">
        <v>1323</v>
      </c>
      <c r="F214" s="283"/>
      <c r="G214" s="283"/>
      <c r="H214" s="283"/>
      <c r="I214" s="283"/>
      <c r="J214" s="283"/>
      <c r="K214" s="1"/>
      <c r="L214" s="1"/>
      <c r="M214" s="283"/>
      <c r="N214" s="283"/>
      <c r="O214" s="283"/>
      <c r="P214" s="283"/>
      <c r="Q214" s="283"/>
      <c r="R214" s="283"/>
      <c r="S214" s="283"/>
      <c r="T214" s="1"/>
      <c r="U214" s="1"/>
      <c r="V214" s="1"/>
      <c r="W214" s="1"/>
      <c r="X214" s="1"/>
      <c r="Y214" s="1"/>
      <c r="Z214" s="1"/>
      <c r="AA214" s="1"/>
      <c r="AB214" s="1"/>
      <c r="AC214" s="1"/>
      <c r="AD214" s="1"/>
      <c r="AE214" s="1"/>
      <c r="AF214" s="1"/>
      <c r="AG214" s="1"/>
      <c r="AH214" s="1"/>
      <c r="AI214" s="1"/>
      <c r="AJ214" s="1"/>
      <c r="AK214" s="1"/>
      <c r="AL214" s="1"/>
    </row>
    <row r="215" spans="1:38">
      <c r="A215" s="1"/>
      <c r="B215" s="283"/>
      <c r="C215" s="283"/>
      <c r="D215" s="283"/>
      <c r="E215" s="1"/>
      <c r="F215" s="283"/>
      <c r="G215" s="283"/>
      <c r="H215" s="283"/>
      <c r="I215" s="283"/>
      <c r="J215" s="283"/>
      <c r="K215" s="1"/>
      <c r="L215" s="1"/>
      <c r="M215" s="283"/>
      <c r="N215" s="283"/>
      <c r="O215" s="283"/>
      <c r="P215" s="283"/>
      <c r="Q215" s="283"/>
      <c r="R215" s="283"/>
      <c r="S215" s="283"/>
      <c r="T215" s="1"/>
      <c r="U215" s="1"/>
      <c r="V215" s="1"/>
      <c r="W215" s="1"/>
      <c r="X215" s="1"/>
      <c r="Y215" s="1"/>
      <c r="Z215" s="1"/>
      <c r="AA215" s="1"/>
      <c r="AB215" s="1"/>
      <c r="AC215" s="1"/>
      <c r="AD215" s="1"/>
      <c r="AE215" s="1"/>
      <c r="AF215" s="1"/>
      <c r="AG215" s="1"/>
      <c r="AH215" s="1"/>
      <c r="AI215" s="1"/>
      <c r="AJ215" s="1"/>
      <c r="AK215" s="1"/>
      <c r="AL215" s="1"/>
    </row>
    <row r="216" spans="1:38">
      <c r="A216" s="1"/>
      <c r="B216" s="283"/>
      <c r="C216" s="283"/>
      <c r="D216" s="358" t="s">
        <v>304</v>
      </c>
      <c r="E216" s="358" t="s">
        <v>1012</v>
      </c>
      <c r="F216" s="1"/>
      <c r="G216" s="283"/>
      <c r="H216" s="283"/>
      <c r="I216" s="283"/>
      <c r="J216" s="283"/>
      <c r="K216" s="1"/>
      <c r="L216" s="1"/>
      <c r="M216" s="283"/>
      <c r="N216" s="283"/>
      <c r="O216" s="283"/>
      <c r="P216" s="283"/>
      <c r="Q216" s="283"/>
      <c r="R216" s="283"/>
      <c r="S216" s="283"/>
      <c r="T216" s="1"/>
      <c r="U216" s="1"/>
      <c r="V216" s="1"/>
      <c r="W216" s="1"/>
      <c r="X216" s="1"/>
      <c r="Y216" s="1"/>
      <c r="Z216" s="1"/>
      <c r="AA216" s="1"/>
      <c r="AB216" s="1"/>
      <c r="AC216" s="1"/>
      <c r="AD216" s="1"/>
      <c r="AE216" s="1"/>
      <c r="AF216" s="1"/>
      <c r="AG216" s="1"/>
      <c r="AH216" s="1"/>
      <c r="AI216" s="1"/>
      <c r="AJ216" s="1"/>
      <c r="AK216" s="1"/>
      <c r="AL216" s="1"/>
    </row>
    <row r="217" spans="1:38">
      <c r="A217" s="1"/>
      <c r="B217" s="283"/>
      <c r="C217" s="283"/>
      <c r="D217" s="358"/>
      <c r="E217" s="283" t="s">
        <v>1004</v>
      </c>
      <c r="F217" s="283" t="s">
        <v>1324</v>
      </c>
      <c r="G217" s="1"/>
      <c r="H217" s="1"/>
      <c r="I217" s="1"/>
      <c r="J217" s="1"/>
      <c r="K217" s="1"/>
      <c r="L217" s="1"/>
      <c r="M217" s="283"/>
      <c r="N217" s="283"/>
      <c r="O217" s="283"/>
      <c r="P217" s="283"/>
      <c r="Q217" s="283"/>
      <c r="R217" s="283"/>
      <c r="S217" s="283"/>
      <c r="T217" s="1"/>
      <c r="U217" s="1"/>
      <c r="V217" s="1"/>
      <c r="W217" s="1"/>
      <c r="X217" s="1"/>
      <c r="Y217" s="1"/>
      <c r="Z217" s="1"/>
      <c r="AA217" s="1"/>
      <c r="AB217" s="1"/>
      <c r="AC217" s="1"/>
      <c r="AD217" s="1"/>
      <c r="AE217" s="1"/>
      <c r="AF217" s="1"/>
      <c r="AG217" s="1"/>
      <c r="AH217" s="1"/>
      <c r="AI217" s="1"/>
      <c r="AJ217" s="1"/>
      <c r="AK217" s="1"/>
      <c r="AL217" s="1"/>
    </row>
    <row r="218" spans="1:38">
      <c r="A218" s="1"/>
      <c r="B218" s="283"/>
      <c r="C218" s="283"/>
      <c r="D218" s="358"/>
      <c r="E218" s="283" t="s">
        <v>1005</v>
      </c>
      <c r="F218" s="283" t="s">
        <v>506</v>
      </c>
      <c r="G218" s="1"/>
      <c r="H218" s="1"/>
      <c r="I218" s="283"/>
      <c r="J218" s="283"/>
      <c r="K218" s="1"/>
      <c r="L218" s="1"/>
      <c r="M218" s="283"/>
      <c r="N218" s="283"/>
      <c r="O218" s="283"/>
      <c r="P218" s="283"/>
      <c r="Q218" s="283"/>
      <c r="R218" s="283"/>
      <c r="S218" s="283"/>
      <c r="T218" s="283"/>
      <c r="U218" s="283"/>
      <c r="V218" s="283"/>
      <c r="W218" s="283"/>
      <c r="X218" s="283"/>
      <c r="Y218" s="283"/>
      <c r="Z218" s="283"/>
      <c r="AA218" s="283"/>
      <c r="AB218" s="283"/>
      <c r="AC218" s="283"/>
      <c r="AD218" s="283"/>
      <c r="AE218" s="283"/>
      <c r="AF218" s="283"/>
      <c r="AG218" s="283"/>
      <c r="AH218" s="1"/>
      <c r="AI218" s="1"/>
      <c r="AJ218" s="1"/>
      <c r="AK218" s="1"/>
      <c r="AL218" s="1"/>
    </row>
    <row r="219" spans="1:38">
      <c r="A219" s="1"/>
      <c r="B219" s="283"/>
      <c r="C219" s="283"/>
      <c r="D219" s="358"/>
      <c r="E219" s="283" t="s">
        <v>1011</v>
      </c>
      <c r="F219" s="283" t="s">
        <v>507</v>
      </c>
      <c r="G219" s="1"/>
      <c r="H219" s="1"/>
      <c r="I219" s="283"/>
      <c r="J219" s="283"/>
      <c r="K219" s="1"/>
      <c r="L219" s="1"/>
      <c r="M219" s="283"/>
      <c r="N219" s="283"/>
      <c r="O219" s="283"/>
      <c r="P219" s="283"/>
      <c r="Q219" s="283"/>
      <c r="R219" s="283"/>
      <c r="S219" s="283"/>
      <c r="T219" s="283"/>
      <c r="U219" s="283"/>
      <c r="V219" s="283"/>
      <c r="W219" s="283"/>
      <c r="X219" s="283"/>
      <c r="Y219" s="283"/>
      <c r="Z219" s="283"/>
      <c r="AA219" s="283"/>
      <c r="AB219" s="283"/>
      <c r="AC219" s="283"/>
      <c r="AD219" s="283"/>
      <c r="AE219" s="283"/>
      <c r="AF219" s="283"/>
      <c r="AG219" s="283"/>
      <c r="AH219" s="1"/>
      <c r="AI219" s="1"/>
      <c r="AJ219" s="1"/>
      <c r="AK219" s="1"/>
      <c r="AL219" s="1"/>
    </row>
    <row r="220" spans="1:38">
      <c r="A220" s="1"/>
      <c r="B220" s="283"/>
      <c r="C220" s="283"/>
      <c r="D220" s="1"/>
      <c r="E220" s="1"/>
      <c r="F220" s="283" t="s">
        <v>903</v>
      </c>
      <c r="G220" s="283" t="s">
        <v>1326</v>
      </c>
      <c r="H220" s="1"/>
      <c r="I220" s="283"/>
      <c r="J220" s="283"/>
      <c r="K220" s="1"/>
      <c r="L220" s="1"/>
      <c r="M220" s="283"/>
      <c r="N220" s="283"/>
      <c r="O220" s="283"/>
      <c r="P220" s="283"/>
      <c r="Q220" s="283"/>
      <c r="R220" s="283"/>
      <c r="S220" s="283"/>
      <c r="T220" s="283"/>
      <c r="U220" s="283"/>
      <c r="V220" s="283"/>
      <c r="W220" s="283"/>
      <c r="X220" s="283"/>
      <c r="Y220" s="283"/>
      <c r="Z220" s="1"/>
      <c r="AA220" s="1"/>
      <c r="AB220" s="1"/>
      <c r="AC220" s="1"/>
      <c r="AD220" s="1"/>
      <c r="AE220" s="1"/>
      <c r="AF220" s="1"/>
      <c r="AG220" s="1"/>
      <c r="AH220" s="1"/>
      <c r="AI220" s="1"/>
      <c r="AJ220" s="1"/>
      <c r="AK220" s="1"/>
      <c r="AL220" s="1"/>
    </row>
    <row r="221" spans="1:38">
      <c r="A221" s="1"/>
      <c r="B221" s="283"/>
      <c r="C221" s="283"/>
      <c r="D221" s="358"/>
      <c r="E221" s="283" t="s">
        <v>480</v>
      </c>
      <c r="F221" s="283" t="s">
        <v>1325</v>
      </c>
      <c r="G221" s="1"/>
      <c r="H221" s="1"/>
      <c r="I221" s="1"/>
      <c r="J221" s="1"/>
      <c r="K221" s="1"/>
      <c r="L221" s="1"/>
      <c r="M221" s="283"/>
      <c r="N221" s="283"/>
      <c r="O221" s="283"/>
      <c r="P221" s="283"/>
      <c r="Q221" s="283"/>
      <c r="R221" s="283"/>
      <c r="S221" s="283"/>
      <c r="T221" s="1"/>
      <c r="U221" s="1"/>
      <c r="V221" s="1"/>
      <c r="W221" s="1"/>
      <c r="X221" s="1"/>
      <c r="Y221" s="1"/>
      <c r="Z221" s="1"/>
      <c r="AA221" s="1"/>
      <c r="AB221" s="1"/>
      <c r="AC221" s="1"/>
      <c r="AD221" s="1"/>
      <c r="AE221" s="1"/>
      <c r="AF221" s="1"/>
      <c r="AG221" s="1"/>
      <c r="AH221" s="1"/>
      <c r="AI221" s="1"/>
      <c r="AJ221" s="1"/>
      <c r="AK221" s="1"/>
      <c r="AL221" s="1"/>
    </row>
    <row r="222" spans="1:38">
      <c r="A222" s="1"/>
      <c r="B222" s="283"/>
      <c r="C222" s="283"/>
      <c r="D222" s="358"/>
      <c r="E222" s="1"/>
      <c r="F222" s="1" t="s">
        <v>903</v>
      </c>
      <c r="G222" s="1515" t="s">
        <v>1929</v>
      </c>
      <c r="H222" s="1515"/>
      <c r="I222" s="1515"/>
      <c r="J222" s="1515"/>
      <c r="K222" s="1515"/>
      <c r="L222" s="1515"/>
      <c r="M222" s="1515"/>
      <c r="N222" s="1515"/>
      <c r="O222" s="1515"/>
      <c r="P222" s="1515"/>
      <c r="Q222" s="1515"/>
      <c r="R222" s="1515"/>
      <c r="S222" s="1515"/>
      <c r="T222" s="1515"/>
      <c r="U222" s="1515"/>
      <c r="V222" s="1515"/>
      <c r="W222" s="1515"/>
      <c r="X222" s="1515"/>
      <c r="Y222" s="1515"/>
      <c r="Z222" s="1515"/>
      <c r="AA222" s="1515"/>
      <c r="AB222" s="1515"/>
      <c r="AC222" s="1515"/>
      <c r="AD222" s="1515"/>
      <c r="AE222" s="1515"/>
      <c r="AF222" s="1515"/>
      <c r="AG222" s="1515"/>
      <c r="AH222" s="1515"/>
      <c r="AI222" s="1515"/>
      <c r="AJ222" s="1515"/>
      <c r="AK222" s="1515"/>
      <c r="AL222" s="1"/>
    </row>
    <row r="223" spans="1:38">
      <c r="A223" s="1"/>
      <c r="B223" s="283"/>
      <c r="C223" s="283"/>
      <c r="D223" s="358"/>
      <c r="E223" s="1"/>
      <c r="F223" s="1"/>
      <c r="G223" s="1515"/>
      <c r="H223" s="1515"/>
      <c r="I223" s="1515"/>
      <c r="J223" s="1515"/>
      <c r="K223" s="1515"/>
      <c r="L223" s="1515"/>
      <c r="M223" s="1515"/>
      <c r="N223" s="1515"/>
      <c r="O223" s="1515"/>
      <c r="P223" s="1515"/>
      <c r="Q223" s="1515"/>
      <c r="R223" s="1515"/>
      <c r="S223" s="1515"/>
      <c r="T223" s="1515"/>
      <c r="U223" s="1515"/>
      <c r="V223" s="1515"/>
      <c r="W223" s="1515"/>
      <c r="X223" s="1515"/>
      <c r="Y223" s="1515"/>
      <c r="Z223" s="1515"/>
      <c r="AA223" s="1515"/>
      <c r="AB223" s="1515"/>
      <c r="AC223" s="1515"/>
      <c r="AD223" s="1515"/>
      <c r="AE223" s="1515"/>
      <c r="AF223" s="1515"/>
      <c r="AG223" s="1515"/>
      <c r="AH223" s="1515"/>
      <c r="AI223" s="1515"/>
      <c r="AJ223" s="1515"/>
      <c r="AK223" s="1515"/>
      <c r="AL223" s="1"/>
    </row>
    <row r="224" spans="1:38">
      <c r="A224" s="1"/>
      <c r="B224" s="283"/>
      <c r="C224" s="283"/>
      <c r="D224" s="358"/>
      <c r="E224" s="1"/>
      <c r="F224" s="1"/>
      <c r="G224" s="1"/>
      <c r="H224" s="1"/>
      <c r="I224" s="1"/>
      <c r="J224" s="1"/>
      <c r="K224" s="1"/>
      <c r="L224" s="1"/>
      <c r="M224" s="283"/>
      <c r="N224" s="283"/>
      <c r="O224" s="283"/>
      <c r="P224" s="283"/>
      <c r="Q224" s="283"/>
      <c r="R224" s="283"/>
      <c r="S224" s="283"/>
      <c r="T224" s="1"/>
      <c r="U224" s="1"/>
      <c r="V224" s="1"/>
      <c r="W224" s="1"/>
      <c r="X224" s="1"/>
      <c r="Y224" s="1"/>
      <c r="Z224" s="1"/>
      <c r="AA224" s="1"/>
      <c r="AB224" s="1"/>
      <c r="AC224" s="1"/>
      <c r="AD224" s="1"/>
      <c r="AE224" s="1"/>
      <c r="AF224" s="1"/>
      <c r="AG224" s="1"/>
      <c r="AH224" s="1"/>
      <c r="AI224" s="1"/>
      <c r="AJ224" s="1"/>
      <c r="AK224" s="1"/>
      <c r="AL224" s="1"/>
    </row>
    <row r="225" spans="1:38">
      <c r="A225" s="1"/>
      <c r="B225" s="283"/>
      <c r="C225" s="283"/>
      <c r="D225" s="358" t="s">
        <v>797</v>
      </c>
      <c r="E225" s="358" t="s">
        <v>189</v>
      </c>
      <c r="F225" s="1"/>
      <c r="G225" s="283"/>
      <c r="H225" s="283"/>
      <c r="I225" s="283"/>
      <c r="J225" s="283"/>
      <c r="K225" s="1"/>
      <c r="L225" s="1"/>
      <c r="M225" s="283"/>
      <c r="N225" s="283"/>
      <c r="O225" s="283"/>
      <c r="P225" s="283"/>
      <c r="Q225" s="283"/>
      <c r="R225" s="283"/>
      <c r="S225" s="283"/>
      <c r="T225" s="283"/>
      <c r="U225" s="283"/>
      <c r="V225" s="283"/>
      <c r="W225" s="283"/>
      <c r="X225" s="1"/>
      <c r="Y225" s="1"/>
      <c r="Z225" s="1"/>
      <c r="AA225" s="1"/>
      <c r="AB225" s="1"/>
      <c r="AC225" s="1"/>
      <c r="AD225" s="1"/>
      <c r="AE225" s="1"/>
      <c r="AF225" s="1"/>
      <c r="AG225" s="1"/>
      <c r="AH225" s="1"/>
      <c r="AI225" s="1"/>
      <c r="AJ225" s="1"/>
      <c r="AK225" s="1"/>
      <c r="AL225" s="1"/>
    </row>
    <row r="226" spans="1:38">
      <c r="A226" s="1"/>
      <c r="B226" s="283"/>
      <c r="C226" s="283"/>
      <c r="D226" s="1"/>
      <c r="E226" s="283" t="s">
        <v>48</v>
      </c>
      <c r="F226" s="283"/>
      <c r="G226" s="1"/>
      <c r="H226" s="1"/>
      <c r="I226" s="283"/>
      <c r="J226" s="283"/>
      <c r="K226" s="1"/>
      <c r="L226" s="1"/>
      <c r="M226" s="283"/>
      <c r="N226" s="283"/>
      <c r="O226" s="283"/>
      <c r="P226" s="283"/>
      <c r="Q226" s="283"/>
      <c r="R226" s="283"/>
      <c r="S226" s="283"/>
      <c r="T226" s="283"/>
      <c r="U226" s="283"/>
      <c r="V226" s="283"/>
      <c r="W226" s="283"/>
      <c r="X226" s="1"/>
      <c r="Y226" s="1"/>
      <c r="Z226" s="1"/>
      <c r="AA226" s="1"/>
      <c r="AB226" s="1"/>
      <c r="AC226" s="1"/>
      <c r="AD226" s="1"/>
      <c r="AE226" s="1"/>
      <c r="AF226" s="1"/>
      <c r="AG226" s="1"/>
      <c r="AH226" s="1"/>
      <c r="AI226" s="1"/>
      <c r="AJ226" s="1"/>
      <c r="AK226" s="1"/>
      <c r="AL226" s="1"/>
    </row>
    <row r="227" spans="1:38">
      <c r="A227" s="1"/>
      <c r="B227" s="283"/>
      <c r="C227" s="283"/>
      <c r="D227" s="1"/>
      <c r="E227" s="1"/>
      <c r="F227" s="283"/>
      <c r="G227" s="283"/>
      <c r="H227" s="1"/>
      <c r="I227" s="283"/>
      <c r="J227" s="283"/>
      <c r="K227" s="1"/>
      <c r="L227" s="1"/>
      <c r="M227" s="283"/>
      <c r="N227" s="283"/>
      <c r="O227" s="283"/>
      <c r="P227" s="283"/>
      <c r="Q227" s="283"/>
      <c r="R227" s="283"/>
      <c r="S227" s="283"/>
      <c r="T227" s="283"/>
      <c r="U227" s="283"/>
      <c r="V227" s="283"/>
      <c r="W227" s="283"/>
      <c r="X227" s="1"/>
      <c r="Y227" s="1"/>
      <c r="Z227" s="1"/>
      <c r="AA227" s="1"/>
      <c r="AB227" s="1"/>
      <c r="AC227" s="1"/>
      <c r="AD227" s="1"/>
      <c r="AE227" s="1"/>
      <c r="AF227" s="1"/>
      <c r="AG227" s="1"/>
      <c r="AH227" s="1"/>
      <c r="AI227" s="1"/>
      <c r="AJ227" s="1"/>
      <c r="AK227" s="1"/>
      <c r="AL227" s="1"/>
    </row>
    <row r="228" spans="1:38">
      <c r="A228" s="1"/>
      <c r="B228" s="283"/>
      <c r="C228" s="283"/>
      <c r="D228" s="358" t="s">
        <v>794</v>
      </c>
      <c r="E228" s="358" t="s">
        <v>235</v>
      </c>
      <c r="F228" s="283"/>
      <c r="G228" s="283"/>
      <c r="H228" s="1"/>
      <c r="I228" s="283"/>
      <c r="J228" s="283"/>
      <c r="K228" s="1"/>
      <c r="L228" s="1"/>
      <c r="M228" s="283"/>
      <c r="N228" s="283"/>
      <c r="O228" s="283"/>
      <c r="P228" s="283"/>
      <c r="Q228" s="283"/>
      <c r="R228" s="283"/>
      <c r="S228" s="283"/>
      <c r="T228" s="283"/>
      <c r="U228" s="283"/>
      <c r="V228" s="283"/>
      <c r="W228" s="283"/>
      <c r="X228" s="1"/>
      <c r="Y228" s="1"/>
      <c r="Z228" s="1"/>
      <c r="AA228" s="1"/>
      <c r="AB228" s="1"/>
      <c r="AC228" s="1"/>
      <c r="AD228" s="1"/>
      <c r="AE228" s="1"/>
      <c r="AF228" s="1"/>
      <c r="AG228" s="1"/>
      <c r="AH228" s="1"/>
      <c r="AI228" s="1"/>
      <c r="AJ228" s="1"/>
      <c r="AK228" s="1"/>
      <c r="AL228" s="1"/>
    </row>
    <row r="229" spans="1:38">
      <c r="A229" s="1"/>
      <c r="B229" s="283"/>
      <c r="C229" s="283"/>
      <c r="D229" s="358"/>
      <c r="E229" s="283" t="s">
        <v>427</v>
      </c>
      <c r="F229" s="283"/>
      <c r="G229" s="283"/>
      <c r="H229" s="1"/>
      <c r="I229" s="283"/>
      <c r="J229" s="283"/>
      <c r="K229" s="1"/>
      <c r="L229" s="1"/>
      <c r="M229" s="283"/>
      <c r="N229" s="283"/>
      <c r="O229" s="283"/>
      <c r="P229" s="283"/>
      <c r="Q229" s="283"/>
      <c r="R229" s="283"/>
      <c r="S229" s="283"/>
      <c r="T229" s="283"/>
      <c r="U229" s="283"/>
      <c r="V229" s="283"/>
      <c r="W229" s="283"/>
      <c r="X229" s="1"/>
      <c r="Y229" s="1"/>
      <c r="Z229" s="1"/>
      <c r="AA229" s="1"/>
      <c r="AB229" s="1"/>
      <c r="AC229" s="1"/>
      <c r="AD229" s="1"/>
      <c r="AE229" s="1"/>
      <c r="AF229" s="1"/>
      <c r="AG229" s="1"/>
      <c r="AH229" s="1"/>
      <c r="AI229" s="1"/>
      <c r="AJ229" s="1"/>
      <c r="AK229" s="1"/>
      <c r="AL229" s="1"/>
    </row>
    <row r="230" spans="1:38">
      <c r="A230" s="1"/>
      <c r="B230" s="283"/>
      <c r="C230" s="283"/>
      <c r="D230" s="358"/>
      <c r="E230" s="1"/>
      <c r="F230" s="1"/>
      <c r="G230" s="1"/>
      <c r="H230" s="1"/>
      <c r="I230" s="1"/>
      <c r="J230" s="1"/>
      <c r="K230" s="1"/>
      <c r="L230" s="1"/>
      <c r="M230" s="283"/>
      <c r="N230" s="283"/>
      <c r="O230" s="283"/>
      <c r="P230" s="283"/>
      <c r="Q230" s="283"/>
      <c r="R230" s="283"/>
      <c r="S230" s="283"/>
      <c r="T230" s="1"/>
      <c r="U230" s="1"/>
      <c r="V230" s="1"/>
      <c r="W230" s="1"/>
      <c r="X230" s="1"/>
      <c r="Y230" s="1"/>
      <c r="Z230" s="1"/>
      <c r="AA230" s="1"/>
      <c r="AB230" s="1"/>
      <c r="AC230" s="1"/>
      <c r="AD230" s="1"/>
      <c r="AE230" s="1"/>
      <c r="AF230" s="1"/>
      <c r="AG230" s="1"/>
      <c r="AH230" s="1"/>
      <c r="AI230" s="1"/>
      <c r="AJ230" s="1"/>
      <c r="AK230" s="1"/>
      <c r="AL230" s="1"/>
    </row>
    <row r="231" spans="1:38">
      <c r="A231" s="1"/>
      <c r="B231" s="1"/>
      <c r="C231" s="358" t="s">
        <v>371</v>
      </c>
      <c r="D231" s="358"/>
      <c r="E231" s="1"/>
      <c r="F231" s="1"/>
      <c r="G231" s="358" t="s">
        <v>1139</v>
      </c>
      <c r="H231" s="1"/>
      <c r="I231" s="1"/>
      <c r="J231" s="1"/>
      <c r="K231" s="1"/>
      <c r="L231" s="1"/>
      <c r="M231" s="283"/>
      <c r="N231" s="283"/>
      <c r="O231" s="283"/>
      <c r="P231" s="283"/>
      <c r="Q231" s="283"/>
      <c r="R231" s="283"/>
      <c r="S231" s="283"/>
      <c r="T231" s="1"/>
      <c r="U231" s="1"/>
      <c r="V231" s="1"/>
      <c r="W231" s="1"/>
      <c r="X231" s="1"/>
      <c r="Y231" s="1"/>
      <c r="Z231" s="1"/>
      <c r="AA231" s="1"/>
      <c r="AB231" s="1"/>
      <c r="AC231" s="1"/>
      <c r="AD231" s="1"/>
      <c r="AE231" s="1"/>
      <c r="AF231" s="1"/>
      <c r="AG231" s="1"/>
      <c r="AH231" s="1"/>
      <c r="AI231" s="1"/>
      <c r="AJ231" s="1"/>
      <c r="AK231" s="1"/>
      <c r="AL231" s="1"/>
    </row>
    <row r="232" spans="1:38">
      <c r="A232" s="1"/>
      <c r="B232" s="283"/>
      <c r="C232" s="283"/>
      <c r="D232" s="1"/>
      <c r="E232" s="1" t="s">
        <v>1004</v>
      </c>
      <c r="F232" s="283" t="s">
        <v>1140</v>
      </c>
      <c r="G232" s="283"/>
      <c r="H232" s="283"/>
      <c r="I232" s="283"/>
      <c r="J232" s="1"/>
      <c r="K232" s="1"/>
      <c r="L232" s="283"/>
      <c r="M232" s="1"/>
      <c r="N232" s="283"/>
      <c r="O232" s="283"/>
      <c r="P232" s="283"/>
      <c r="Q232" s="283"/>
      <c r="R232" s="283"/>
      <c r="S232" s="283"/>
      <c r="T232" s="1"/>
      <c r="U232" s="1"/>
      <c r="V232" s="1"/>
      <c r="W232" s="1"/>
      <c r="X232" s="1"/>
      <c r="Y232" s="1"/>
      <c r="Z232" s="1"/>
      <c r="AA232" s="1"/>
      <c r="AB232" s="1"/>
      <c r="AC232" s="1"/>
      <c r="AD232" s="1"/>
      <c r="AE232" s="1"/>
      <c r="AF232" s="1"/>
      <c r="AG232" s="1"/>
      <c r="AH232" s="1"/>
      <c r="AI232" s="1"/>
      <c r="AJ232" s="1"/>
      <c r="AK232" s="1"/>
      <c r="AL232" s="1"/>
    </row>
    <row r="233" spans="1:38">
      <c r="A233" s="1"/>
      <c r="B233" s="283"/>
      <c r="C233" s="283"/>
      <c r="D233" s="1"/>
      <c r="E233" s="1"/>
      <c r="F233" s="283" t="s">
        <v>903</v>
      </c>
      <c r="G233" s="1515" t="s">
        <v>1930</v>
      </c>
      <c r="H233" s="1515"/>
      <c r="I233" s="1515"/>
      <c r="J233" s="1515"/>
      <c r="K233" s="1515"/>
      <c r="L233" s="1515"/>
      <c r="M233" s="1515"/>
      <c r="N233" s="1515"/>
      <c r="O233" s="1515"/>
      <c r="P233" s="1515"/>
      <c r="Q233" s="1515"/>
      <c r="R233" s="1515"/>
      <c r="S233" s="1515"/>
      <c r="T233" s="1515"/>
      <c r="U233" s="1515"/>
      <c r="V233" s="1515"/>
      <c r="W233" s="1515"/>
      <c r="X233" s="1515"/>
      <c r="Y233" s="1515"/>
      <c r="Z233" s="1515"/>
      <c r="AA233" s="1515"/>
      <c r="AB233" s="1515"/>
      <c r="AC233" s="1515"/>
      <c r="AD233" s="1515"/>
      <c r="AE233" s="1515"/>
      <c r="AF233" s="1515"/>
      <c r="AG233" s="1515"/>
      <c r="AH233" s="1515"/>
      <c r="AI233" s="1515"/>
      <c r="AJ233" s="1515"/>
      <c r="AK233" s="1515"/>
      <c r="AL233" s="1"/>
    </row>
    <row r="234" spans="1:38">
      <c r="A234" s="1"/>
      <c r="B234" s="283"/>
      <c r="C234" s="283"/>
      <c r="D234" s="1"/>
      <c r="E234" s="1"/>
      <c r="F234" s="283"/>
      <c r="G234" s="1515"/>
      <c r="H234" s="1515"/>
      <c r="I234" s="1515"/>
      <c r="J234" s="1515"/>
      <c r="K234" s="1515"/>
      <c r="L234" s="1515"/>
      <c r="M234" s="1515"/>
      <c r="N234" s="1515"/>
      <c r="O234" s="1515"/>
      <c r="P234" s="1515"/>
      <c r="Q234" s="1515"/>
      <c r="R234" s="1515"/>
      <c r="S234" s="1515"/>
      <c r="T234" s="1515"/>
      <c r="U234" s="1515"/>
      <c r="V234" s="1515"/>
      <c r="W234" s="1515"/>
      <c r="X234" s="1515"/>
      <c r="Y234" s="1515"/>
      <c r="Z234" s="1515"/>
      <c r="AA234" s="1515"/>
      <c r="AB234" s="1515"/>
      <c r="AC234" s="1515"/>
      <c r="AD234" s="1515"/>
      <c r="AE234" s="1515"/>
      <c r="AF234" s="1515"/>
      <c r="AG234" s="1515"/>
      <c r="AH234" s="1515"/>
      <c r="AI234" s="1515"/>
      <c r="AJ234" s="1515"/>
      <c r="AK234" s="1515"/>
      <c r="AL234" s="1"/>
    </row>
    <row r="235" spans="1:38">
      <c r="A235" s="1"/>
      <c r="B235" s="283"/>
      <c r="C235" s="283"/>
      <c r="D235" s="1"/>
      <c r="E235" s="1" t="s">
        <v>1005</v>
      </c>
      <c r="F235" s="283" t="s">
        <v>273</v>
      </c>
      <c r="G235" s="283"/>
      <c r="H235" s="283"/>
      <c r="I235" s="283"/>
      <c r="J235" s="1"/>
      <c r="K235" s="1"/>
      <c r="L235" s="1"/>
      <c r="M235" s="283"/>
      <c r="N235" s="283"/>
      <c r="O235" s="283"/>
      <c r="P235" s="283"/>
      <c r="Q235" s="283"/>
      <c r="R235" s="283"/>
      <c r="S235" s="283"/>
      <c r="T235" s="1"/>
      <c r="U235" s="1"/>
      <c r="V235" s="1"/>
      <c r="W235" s="1"/>
      <c r="X235" s="1"/>
      <c r="Y235" s="1"/>
      <c r="Z235" s="1"/>
      <c r="AA235" s="1"/>
      <c r="AB235" s="1"/>
      <c r="AC235" s="1"/>
      <c r="AD235" s="1"/>
      <c r="AE235" s="1"/>
      <c r="AF235" s="1"/>
      <c r="AG235" s="1"/>
      <c r="AH235" s="1"/>
      <c r="AI235" s="1"/>
      <c r="AJ235" s="1"/>
      <c r="AK235" s="1"/>
      <c r="AL235" s="1"/>
    </row>
    <row r="236" spans="1:38">
      <c r="A236" s="1"/>
      <c r="B236" s="283"/>
      <c r="C236" s="283"/>
      <c r="D236" s="1"/>
      <c r="E236" s="1"/>
      <c r="F236" s="283" t="s">
        <v>903</v>
      </c>
      <c r="G236" s="1515" t="s">
        <v>1931</v>
      </c>
      <c r="H236" s="1515"/>
      <c r="I236" s="1515"/>
      <c r="J236" s="1515"/>
      <c r="K236" s="1515"/>
      <c r="L236" s="1515"/>
      <c r="M236" s="1515"/>
      <c r="N236" s="1515"/>
      <c r="O236" s="1515"/>
      <c r="P236" s="1515"/>
      <c r="Q236" s="1515"/>
      <c r="R236" s="1515"/>
      <c r="S236" s="1515"/>
      <c r="T236" s="1515"/>
      <c r="U236" s="1515"/>
      <c r="V236" s="1515"/>
      <c r="W236" s="1515"/>
      <c r="X236" s="1515"/>
      <c r="Y236" s="1515"/>
      <c r="Z236" s="1515"/>
      <c r="AA236" s="1515"/>
      <c r="AB236" s="1515"/>
      <c r="AC236" s="1515"/>
      <c r="AD236" s="1515"/>
      <c r="AE236" s="1515"/>
      <c r="AF236" s="1515"/>
      <c r="AG236" s="1515"/>
      <c r="AH236" s="1515"/>
      <c r="AI236" s="1515"/>
      <c r="AJ236" s="1515"/>
      <c r="AK236" s="1515"/>
      <c r="AL236" s="1"/>
    </row>
    <row r="237" spans="1:38">
      <c r="A237" s="1"/>
      <c r="B237" s="283"/>
      <c r="C237" s="283"/>
      <c r="D237" s="1"/>
      <c r="E237" s="1"/>
      <c r="F237" s="283"/>
      <c r="G237" s="1515"/>
      <c r="H237" s="1515"/>
      <c r="I237" s="1515"/>
      <c r="J237" s="1515"/>
      <c r="K237" s="1515"/>
      <c r="L237" s="1515"/>
      <c r="M237" s="1515"/>
      <c r="N237" s="1515"/>
      <c r="O237" s="1515"/>
      <c r="P237" s="1515"/>
      <c r="Q237" s="1515"/>
      <c r="R237" s="1515"/>
      <c r="S237" s="1515"/>
      <c r="T237" s="1515"/>
      <c r="U237" s="1515"/>
      <c r="V237" s="1515"/>
      <c r="W237" s="1515"/>
      <c r="X237" s="1515"/>
      <c r="Y237" s="1515"/>
      <c r="Z237" s="1515"/>
      <c r="AA237" s="1515"/>
      <c r="AB237" s="1515"/>
      <c r="AC237" s="1515"/>
      <c r="AD237" s="1515"/>
      <c r="AE237" s="1515"/>
      <c r="AF237" s="1515"/>
      <c r="AG237" s="1515"/>
      <c r="AH237" s="1515"/>
      <c r="AI237" s="1515"/>
      <c r="AJ237" s="1515"/>
      <c r="AK237" s="1515"/>
      <c r="AL237" s="1"/>
    </row>
    <row r="238" spans="1:38">
      <c r="A238" s="1"/>
      <c r="B238" s="283"/>
      <c r="C238" s="283"/>
      <c r="D238" s="358"/>
      <c r="E238" s="358"/>
      <c r="F238" s="283"/>
      <c r="G238" s="283"/>
      <c r="H238" s="283"/>
      <c r="I238" s="283"/>
      <c r="J238" s="283"/>
      <c r="K238" s="283"/>
      <c r="L238" s="1"/>
      <c r="M238" s="283"/>
      <c r="N238" s="283"/>
      <c r="O238" s="283"/>
      <c r="P238" s="283"/>
      <c r="Q238" s="283"/>
      <c r="R238" s="283"/>
      <c r="S238" s="283"/>
      <c r="T238" s="1"/>
      <c r="U238" s="1"/>
      <c r="V238" s="1"/>
      <c r="W238" s="1"/>
      <c r="X238" s="1"/>
      <c r="Y238" s="1"/>
      <c r="Z238" s="1"/>
      <c r="AA238" s="1"/>
      <c r="AB238" s="1"/>
      <c r="AC238" s="1"/>
      <c r="AD238" s="1"/>
      <c r="AE238" s="1"/>
      <c r="AF238" s="1"/>
      <c r="AG238" s="1"/>
      <c r="AH238" s="1"/>
      <c r="AI238" s="1"/>
      <c r="AJ238" s="1"/>
      <c r="AK238" s="1"/>
      <c r="AL238" s="1"/>
    </row>
    <row r="239" spans="1:38">
      <c r="A239" s="12"/>
      <c r="B239" s="1066" t="s">
        <v>372</v>
      </c>
      <c r="C239" s="1066" t="s">
        <v>935</v>
      </c>
      <c r="D239" s="12"/>
      <c r="E239" s="356"/>
      <c r="F239" s="356"/>
      <c r="G239" s="356"/>
      <c r="H239" s="356"/>
      <c r="I239" s="356"/>
      <c r="J239" s="356"/>
      <c r="K239" s="12"/>
      <c r="L239" s="356"/>
      <c r="M239" s="356"/>
      <c r="N239" s="356"/>
      <c r="O239" s="356"/>
      <c r="P239" s="356"/>
      <c r="Q239" s="356"/>
      <c r="R239" s="356"/>
      <c r="S239" s="356"/>
      <c r="T239" s="12"/>
      <c r="U239" s="12"/>
      <c r="V239" s="12"/>
      <c r="W239" s="12"/>
      <c r="X239" s="12"/>
      <c r="Y239" s="12"/>
      <c r="Z239" s="12"/>
      <c r="AA239" s="12"/>
      <c r="AB239" s="12"/>
      <c r="AC239" s="12"/>
      <c r="AD239" s="12"/>
      <c r="AE239" s="12"/>
      <c r="AF239" s="12"/>
      <c r="AG239" s="12"/>
      <c r="AH239" s="12"/>
      <c r="AI239" s="12"/>
      <c r="AJ239" s="12"/>
      <c r="AK239" s="12"/>
      <c r="AL239" s="12"/>
    </row>
    <row r="240" spans="1:38">
      <c r="A240" s="1"/>
      <c r="B240" s="358"/>
      <c r="C240" s="1"/>
      <c r="D240" s="358"/>
      <c r="E240" s="283"/>
      <c r="F240" s="283"/>
      <c r="G240" s="283"/>
      <c r="H240" s="283"/>
      <c r="I240" s="283"/>
      <c r="J240" s="283"/>
      <c r="K240" s="1"/>
      <c r="L240" s="283"/>
      <c r="M240" s="283"/>
      <c r="N240" s="283"/>
      <c r="O240" s="283"/>
      <c r="P240" s="283"/>
      <c r="Q240" s="283"/>
      <c r="R240" s="283"/>
      <c r="S240" s="283"/>
      <c r="T240" s="1"/>
      <c r="U240" s="1"/>
      <c r="V240" s="1"/>
      <c r="W240" s="1"/>
      <c r="X240" s="1"/>
      <c r="Y240" s="1"/>
      <c r="Z240" s="1"/>
      <c r="AA240" s="1"/>
      <c r="AB240" s="1"/>
      <c r="AC240" s="1"/>
      <c r="AD240" s="1"/>
      <c r="AE240" s="1"/>
      <c r="AF240" s="1"/>
      <c r="AG240" s="1"/>
      <c r="AH240" s="1"/>
      <c r="AI240" s="1"/>
      <c r="AJ240" s="1"/>
      <c r="AK240" s="1"/>
      <c r="AL240" s="1"/>
    </row>
    <row r="241" spans="1:38">
      <c r="A241" s="1"/>
      <c r="B241" s="283"/>
      <c r="C241" s="358" t="s">
        <v>305</v>
      </c>
      <c r="D241" s="283"/>
      <c r="E241" s="283"/>
      <c r="F241" s="283"/>
      <c r="G241" s="358" t="s">
        <v>806</v>
      </c>
      <c r="H241" s="1"/>
      <c r="I241" s="283"/>
      <c r="J241" s="283"/>
      <c r="K241" s="283"/>
      <c r="L241" s="1"/>
      <c r="M241" s="283"/>
      <c r="N241" s="283"/>
      <c r="O241" s="283"/>
      <c r="P241" s="283"/>
      <c r="Q241" s="283"/>
      <c r="R241" s="283"/>
      <c r="S241" s="283"/>
      <c r="T241" s="1"/>
      <c r="U241" s="1"/>
      <c r="V241" s="1"/>
      <c r="W241" s="1"/>
      <c r="X241" s="1"/>
      <c r="Y241" s="1"/>
      <c r="Z241" s="1"/>
      <c r="AA241" s="1"/>
      <c r="AB241" s="1"/>
      <c r="AC241" s="1"/>
      <c r="AD241" s="1"/>
      <c r="AE241" s="1"/>
      <c r="AF241" s="1"/>
      <c r="AG241" s="1"/>
      <c r="AH241" s="1"/>
      <c r="AI241" s="1"/>
      <c r="AJ241" s="1"/>
      <c r="AK241" s="1"/>
      <c r="AL241" s="1"/>
    </row>
    <row r="242" spans="1:38">
      <c r="A242" s="1"/>
      <c r="B242" s="358"/>
      <c r="C242" s="1"/>
      <c r="D242" s="1"/>
      <c r="E242" s="283" t="s">
        <v>1004</v>
      </c>
      <c r="F242" s="283" t="s">
        <v>986</v>
      </c>
      <c r="G242" s="283"/>
      <c r="H242" s="1"/>
      <c r="I242" s="283"/>
      <c r="J242" s="283"/>
      <c r="K242" s="283"/>
      <c r="L242" s="283"/>
      <c r="M242" s="283"/>
      <c r="N242" s="283"/>
      <c r="O242" s="283"/>
      <c r="P242" s="283"/>
      <c r="Q242" s="283"/>
      <c r="R242" s="283"/>
      <c r="S242" s="283"/>
      <c r="T242" s="1"/>
      <c r="U242" s="1"/>
      <c r="V242" s="1"/>
      <c r="W242" s="1"/>
      <c r="X242" s="1"/>
      <c r="Y242" s="1"/>
      <c r="Z242" s="1"/>
      <c r="AA242" s="1"/>
      <c r="AB242" s="1"/>
      <c r="AC242" s="1"/>
      <c r="AD242" s="1"/>
      <c r="AE242" s="1"/>
      <c r="AF242" s="1"/>
      <c r="AG242" s="1"/>
      <c r="AH242" s="1"/>
      <c r="AI242" s="1"/>
      <c r="AJ242" s="1"/>
      <c r="AK242" s="1"/>
      <c r="AL242" s="1"/>
    </row>
    <row r="243" spans="1:38">
      <c r="A243" s="1"/>
      <c r="B243" s="358"/>
      <c r="C243" s="1"/>
      <c r="D243" s="1"/>
      <c r="E243" s="283" t="s">
        <v>1005</v>
      </c>
      <c r="F243" s="283" t="s">
        <v>254</v>
      </c>
      <c r="G243" s="283"/>
      <c r="H243" s="1"/>
      <c r="I243" s="283"/>
      <c r="J243" s="283"/>
      <c r="K243" s="283"/>
      <c r="L243" s="283"/>
      <c r="M243" s="283"/>
      <c r="N243" s="283"/>
      <c r="O243" s="283"/>
      <c r="P243" s="283"/>
      <c r="Q243" s="283"/>
      <c r="R243" s="283"/>
      <c r="S243" s="283"/>
      <c r="T243" s="1"/>
      <c r="U243" s="1"/>
      <c r="V243" s="1"/>
      <c r="W243" s="1"/>
      <c r="X243" s="1"/>
      <c r="Y243" s="1"/>
      <c r="Z243" s="1"/>
      <c r="AA243" s="1"/>
      <c r="AB243" s="1"/>
      <c r="AC243" s="1"/>
      <c r="AD243" s="1"/>
      <c r="AE243" s="1"/>
      <c r="AF243" s="1"/>
      <c r="AG243" s="1"/>
      <c r="AH243" s="1"/>
      <c r="AI243" s="1"/>
      <c r="AJ243" s="1"/>
      <c r="AK243" s="1"/>
      <c r="AL243" s="1"/>
    </row>
    <row r="244" spans="1:38">
      <c r="A244" s="1"/>
      <c r="B244" s="358"/>
      <c r="C244" s="1"/>
      <c r="D244" s="1"/>
      <c r="E244" s="283"/>
      <c r="F244" s="283"/>
      <c r="G244" s="283"/>
      <c r="H244" s="283"/>
      <c r="I244" s="283"/>
      <c r="J244" s="283"/>
      <c r="K244" s="283"/>
      <c r="L244" s="283"/>
      <c r="M244" s="283"/>
      <c r="N244" s="283"/>
      <c r="O244" s="283"/>
      <c r="P244" s="283"/>
      <c r="Q244" s="283"/>
      <c r="R244" s="283"/>
      <c r="S244" s="283"/>
      <c r="T244" s="1"/>
      <c r="U244" s="1"/>
      <c r="V244" s="1"/>
      <c r="W244" s="1"/>
      <c r="X244" s="1"/>
      <c r="Y244" s="1"/>
      <c r="Z244" s="1"/>
      <c r="AA244" s="1"/>
      <c r="AB244" s="1"/>
      <c r="AC244" s="1"/>
      <c r="AD244" s="1"/>
      <c r="AE244" s="1"/>
      <c r="AF244" s="1"/>
      <c r="AG244" s="1"/>
      <c r="AH244" s="1"/>
      <c r="AI244" s="1"/>
      <c r="AJ244" s="1"/>
      <c r="AK244" s="1"/>
      <c r="AL244" s="1"/>
    </row>
    <row r="245" spans="1:38">
      <c r="A245" s="1"/>
      <c r="B245" s="358"/>
      <c r="C245" s="358" t="s">
        <v>306</v>
      </c>
      <c r="D245" s="283"/>
      <c r="E245" s="283"/>
      <c r="F245" s="283"/>
      <c r="G245" s="358" t="s">
        <v>919</v>
      </c>
      <c r="H245" s="1"/>
      <c r="I245" s="283"/>
      <c r="J245" s="283"/>
      <c r="K245" s="283"/>
      <c r="L245" s="283"/>
      <c r="M245" s="283"/>
      <c r="N245" s="283"/>
      <c r="O245" s="283"/>
      <c r="P245" s="283"/>
      <c r="Q245" s="283"/>
      <c r="R245" s="283"/>
      <c r="S245" s="283"/>
      <c r="T245" s="1"/>
      <c r="U245" s="1"/>
      <c r="V245" s="1"/>
      <c r="W245" s="1"/>
      <c r="X245" s="1"/>
      <c r="Y245" s="1"/>
      <c r="Z245" s="1"/>
      <c r="AA245" s="1"/>
      <c r="AB245" s="1"/>
      <c r="AC245" s="1"/>
      <c r="AD245" s="1"/>
      <c r="AE245" s="1"/>
      <c r="AF245" s="1"/>
      <c r="AG245" s="1"/>
      <c r="AH245" s="1"/>
      <c r="AI245" s="1"/>
      <c r="AJ245" s="1"/>
      <c r="AK245" s="1"/>
      <c r="AL245" s="1"/>
    </row>
    <row r="246" spans="1:38">
      <c r="A246" s="1"/>
      <c r="B246" s="358"/>
      <c r="C246" s="1"/>
      <c r="D246" s="1"/>
      <c r="E246" s="283" t="s">
        <v>1004</v>
      </c>
      <c r="F246" s="283" t="s">
        <v>987</v>
      </c>
      <c r="G246" s="283"/>
      <c r="H246" s="1"/>
      <c r="I246" s="283"/>
      <c r="J246" s="283"/>
      <c r="K246" s="283"/>
      <c r="L246" s="283"/>
      <c r="M246" s="283"/>
      <c r="N246" s="283"/>
      <c r="O246" s="283"/>
      <c r="P246" s="283"/>
      <c r="Q246" s="283"/>
      <c r="R246" s="283"/>
      <c r="S246" s="283"/>
      <c r="T246" s="1"/>
      <c r="U246" s="1"/>
      <c r="V246" s="1"/>
      <c r="W246" s="1"/>
      <c r="X246" s="1"/>
      <c r="Y246" s="1"/>
      <c r="Z246" s="1"/>
      <c r="AA246" s="1"/>
      <c r="AB246" s="1"/>
      <c r="AC246" s="1"/>
      <c r="AD246" s="1"/>
      <c r="AE246" s="1"/>
      <c r="AF246" s="1"/>
      <c r="AG246" s="1"/>
      <c r="AH246" s="1"/>
      <c r="AI246" s="1"/>
      <c r="AJ246" s="1"/>
      <c r="AK246" s="1"/>
      <c r="AL246" s="1"/>
    </row>
    <row r="247" spans="1:38">
      <c r="A247" s="1"/>
      <c r="B247" s="358"/>
      <c r="C247" s="1"/>
      <c r="D247" s="1"/>
      <c r="E247" s="283"/>
      <c r="F247" s="283" t="s">
        <v>367</v>
      </c>
      <c r="G247" s="283"/>
      <c r="H247" s="283"/>
      <c r="I247" s="283"/>
      <c r="J247" s="283"/>
      <c r="K247" s="283"/>
      <c r="L247" s="283"/>
      <c r="M247" s="283"/>
      <c r="N247" s="283"/>
      <c r="O247" s="283"/>
      <c r="P247" s="283"/>
      <c r="Q247" s="283"/>
      <c r="R247" s="283"/>
      <c r="S247" s="283"/>
      <c r="T247" s="1"/>
      <c r="U247" s="1"/>
      <c r="V247" s="1"/>
      <c r="W247" s="1"/>
      <c r="X247" s="1"/>
      <c r="Y247" s="1"/>
      <c r="Z247" s="1"/>
      <c r="AA247" s="1"/>
      <c r="AB247" s="1"/>
      <c r="AC247" s="1"/>
      <c r="AD247" s="1"/>
      <c r="AE247" s="1"/>
      <c r="AF247" s="1"/>
      <c r="AG247" s="1"/>
      <c r="AH247" s="1"/>
      <c r="AI247" s="1"/>
      <c r="AJ247" s="1"/>
      <c r="AK247" s="1"/>
      <c r="AL247" s="1"/>
    </row>
    <row r="248" spans="1:38">
      <c r="A248" s="1"/>
      <c r="B248" s="358"/>
      <c r="C248" s="1"/>
      <c r="D248" s="283"/>
      <c r="E248" s="283" t="s">
        <v>1005</v>
      </c>
      <c r="F248" s="283" t="s">
        <v>254</v>
      </c>
      <c r="G248" s="283"/>
      <c r="H248" s="1"/>
      <c r="I248" s="283"/>
      <c r="J248" s="283"/>
      <c r="K248" s="283"/>
      <c r="L248" s="283"/>
      <c r="M248" s="283"/>
      <c r="N248" s="283"/>
      <c r="O248" s="283"/>
      <c r="P248" s="283"/>
      <c r="Q248" s="283"/>
      <c r="R248" s="283"/>
      <c r="S248" s="283"/>
      <c r="T248" s="1"/>
      <c r="U248" s="1"/>
      <c r="V248" s="1"/>
      <c r="W248" s="1"/>
      <c r="X248" s="1"/>
      <c r="Y248" s="1"/>
      <c r="Z248" s="1"/>
      <c r="AA248" s="1"/>
      <c r="AB248" s="1"/>
      <c r="AC248" s="1"/>
      <c r="AD248" s="1"/>
      <c r="AE248" s="1"/>
      <c r="AF248" s="1"/>
      <c r="AG248" s="1"/>
      <c r="AH248" s="1"/>
      <c r="AI248" s="1"/>
      <c r="AJ248" s="1"/>
      <c r="AK248" s="1"/>
      <c r="AL248" s="1"/>
    </row>
    <row r="249" spans="1:38">
      <c r="A249" s="1"/>
      <c r="B249" s="358"/>
      <c r="C249" s="1"/>
      <c r="D249" s="1"/>
      <c r="E249" s="283" t="s">
        <v>1011</v>
      </c>
      <c r="F249" s="1079" t="s">
        <v>1338</v>
      </c>
      <c r="G249" s="283"/>
      <c r="H249" s="1"/>
      <c r="I249" s="283"/>
      <c r="J249" s="283"/>
      <c r="K249" s="283"/>
      <c r="L249" s="283"/>
      <c r="M249" s="283"/>
      <c r="N249" s="283"/>
      <c r="O249" s="283"/>
      <c r="P249" s="283"/>
      <c r="Q249" s="283"/>
      <c r="R249" s="283"/>
      <c r="S249" s="283"/>
      <c r="T249" s="1"/>
      <c r="U249" s="1"/>
      <c r="V249" s="1"/>
      <c r="W249" s="1"/>
      <c r="X249" s="1"/>
      <c r="Y249" s="1"/>
      <c r="Z249" s="1"/>
      <c r="AA249" s="1"/>
      <c r="AB249" s="1"/>
      <c r="AC249" s="1"/>
      <c r="AD249" s="1"/>
      <c r="AE249" s="1"/>
      <c r="AF249" s="1"/>
      <c r="AG249" s="1"/>
      <c r="AH249" s="1"/>
      <c r="AI249" s="1"/>
      <c r="AJ249" s="1"/>
      <c r="AK249" s="1"/>
      <c r="AL249" s="1"/>
    </row>
    <row r="250" spans="1:38">
      <c r="A250" s="1"/>
      <c r="B250" s="358"/>
      <c r="C250" s="1"/>
      <c r="D250" s="283"/>
      <c r="E250" s="283"/>
      <c r="F250" s="283"/>
      <c r="G250" s="283"/>
      <c r="H250" s="283"/>
      <c r="I250" s="283"/>
      <c r="J250" s="283"/>
      <c r="K250" s="283"/>
      <c r="L250" s="283"/>
      <c r="M250" s="283"/>
      <c r="N250" s="283"/>
      <c r="O250" s="283"/>
      <c r="P250" s="283"/>
      <c r="Q250" s="283"/>
      <c r="R250" s="283"/>
      <c r="S250" s="283"/>
      <c r="T250" s="1"/>
      <c r="U250" s="1"/>
      <c r="V250" s="1"/>
      <c r="W250" s="1"/>
      <c r="X250" s="1"/>
      <c r="Y250" s="1"/>
      <c r="Z250" s="1"/>
      <c r="AA250" s="1"/>
      <c r="AB250" s="1"/>
      <c r="AC250" s="1"/>
      <c r="AD250" s="1"/>
      <c r="AE250" s="1"/>
      <c r="AF250" s="1"/>
      <c r="AG250" s="1"/>
      <c r="AH250" s="1"/>
      <c r="AI250" s="1"/>
      <c r="AJ250" s="1"/>
      <c r="AK250" s="1"/>
      <c r="AL250" s="1"/>
    </row>
    <row r="251" spans="1:38">
      <c r="A251" s="1"/>
      <c r="B251" s="358"/>
      <c r="C251" s="358" t="s">
        <v>368</v>
      </c>
      <c r="D251" s="1"/>
      <c r="E251" s="283"/>
      <c r="F251" s="283"/>
      <c r="G251" s="358" t="s">
        <v>166</v>
      </c>
      <c r="H251" s="1"/>
      <c r="I251" s="283"/>
      <c r="J251" s="283"/>
      <c r="K251" s="283"/>
      <c r="L251" s="283"/>
      <c r="M251" s="283"/>
      <c r="N251" s="283"/>
      <c r="O251" s="283"/>
      <c r="P251" s="283"/>
      <c r="Q251" s="283"/>
      <c r="R251" s="283"/>
      <c r="S251" s="283"/>
      <c r="T251" s="1"/>
      <c r="U251" s="1"/>
      <c r="V251" s="1"/>
      <c r="W251" s="1"/>
      <c r="X251" s="1"/>
      <c r="Y251" s="1"/>
      <c r="Z251" s="1"/>
      <c r="AA251" s="1"/>
      <c r="AB251" s="1"/>
      <c r="AC251" s="1"/>
      <c r="AD251" s="1"/>
      <c r="AE251" s="1"/>
      <c r="AF251" s="1"/>
      <c r="AG251" s="1"/>
      <c r="AH251" s="1"/>
      <c r="AI251" s="1"/>
      <c r="AJ251" s="1"/>
      <c r="AK251" s="1"/>
      <c r="AL251" s="1"/>
    </row>
    <row r="252" spans="1:38">
      <c r="A252" s="1"/>
      <c r="B252" s="358"/>
      <c r="C252" s="358"/>
      <c r="D252" s="1"/>
      <c r="E252" s="283" t="s">
        <v>1004</v>
      </c>
      <c r="F252" s="283" t="s">
        <v>860</v>
      </c>
      <c r="G252" s="283"/>
      <c r="H252" s="1"/>
      <c r="I252" s="283"/>
      <c r="J252" s="283"/>
      <c r="K252" s="283"/>
      <c r="L252" s="283"/>
      <c r="M252" s="283"/>
      <c r="N252" s="283"/>
      <c r="O252" s="283"/>
      <c r="P252" s="283"/>
      <c r="Q252" s="283"/>
      <c r="R252" s="283"/>
      <c r="S252" s="283"/>
      <c r="T252" s="283"/>
      <c r="U252" s="283"/>
      <c r="V252" s="1"/>
      <c r="W252" s="1"/>
      <c r="X252" s="1"/>
      <c r="Y252" s="1"/>
      <c r="Z252" s="1"/>
      <c r="AA252" s="1"/>
      <c r="AB252" s="1"/>
      <c r="AC252" s="1"/>
      <c r="AD252" s="1"/>
      <c r="AE252" s="1"/>
      <c r="AF252" s="1"/>
      <c r="AG252" s="1"/>
      <c r="AH252" s="1"/>
      <c r="AI252" s="1"/>
      <c r="AJ252" s="1"/>
      <c r="AK252" s="1"/>
      <c r="AL252" s="1"/>
    </row>
    <row r="253" spans="1:38">
      <c r="A253" s="1"/>
      <c r="B253" s="358"/>
      <c r="C253" s="358"/>
      <c r="D253" s="1"/>
      <c r="E253" s="283"/>
      <c r="F253" s="1067" t="s">
        <v>1791</v>
      </c>
      <c r="G253" s="283"/>
      <c r="H253" s="1"/>
      <c r="I253" s="1"/>
      <c r="J253" s="283"/>
      <c r="K253" s="283"/>
      <c r="L253" s="283"/>
      <c r="M253" s="283"/>
      <c r="N253" s="283"/>
      <c r="O253" s="283"/>
      <c r="P253" s="283"/>
      <c r="Q253" s="283"/>
      <c r="R253" s="283"/>
      <c r="S253" s="283"/>
      <c r="T253" s="283"/>
      <c r="U253" s="283"/>
      <c r="V253" s="1"/>
      <c r="W253" s="1"/>
      <c r="X253" s="1"/>
      <c r="Y253" s="1"/>
      <c r="Z253" s="1"/>
      <c r="AA253" s="1"/>
      <c r="AB253" s="1"/>
      <c r="AC253" s="1"/>
      <c r="AD253" s="1"/>
      <c r="AE253" s="1"/>
      <c r="AF253" s="1"/>
      <c r="AG253" s="1"/>
      <c r="AH253" s="1"/>
      <c r="AI253" s="1"/>
      <c r="AJ253" s="1"/>
      <c r="AK253" s="1"/>
      <c r="AL253" s="1"/>
    </row>
    <row r="254" spans="1:38">
      <c r="A254" s="1"/>
      <c r="B254" s="358"/>
      <c r="C254" s="358"/>
      <c r="D254" s="1"/>
      <c r="E254" s="283" t="s">
        <v>1005</v>
      </c>
      <c r="F254" s="283" t="s">
        <v>1327</v>
      </c>
      <c r="G254" s="1"/>
      <c r="H254" s="1"/>
      <c r="I254" s="283"/>
      <c r="J254" s="283"/>
      <c r="K254" s="283"/>
      <c r="L254" s="283"/>
      <c r="M254" s="283"/>
      <c r="N254" s="283"/>
      <c r="O254" s="283"/>
      <c r="P254" s="283"/>
      <c r="Q254" s="283"/>
      <c r="R254" s="283"/>
      <c r="S254" s="283"/>
      <c r="T254" s="283"/>
      <c r="U254" s="283"/>
      <c r="V254" s="1"/>
      <c r="W254" s="1"/>
      <c r="X254" s="1"/>
      <c r="Y254" s="1"/>
      <c r="Z254" s="1"/>
      <c r="AA254" s="1"/>
      <c r="AB254" s="1"/>
      <c r="AC254" s="1"/>
      <c r="AD254" s="1"/>
      <c r="AE254" s="1"/>
      <c r="AF254" s="1"/>
      <c r="AG254" s="1"/>
      <c r="AH254" s="1"/>
      <c r="AI254" s="1"/>
      <c r="AJ254" s="1"/>
      <c r="AK254" s="1"/>
      <c r="AL254" s="1"/>
    </row>
    <row r="255" spans="1:38">
      <c r="A255" s="1"/>
      <c r="B255" s="358"/>
      <c r="C255" s="358"/>
      <c r="D255" s="1"/>
      <c r="E255" s="283"/>
      <c r="F255" s="283" t="s">
        <v>903</v>
      </c>
      <c r="G255" s="283" t="s">
        <v>1143</v>
      </c>
      <c r="H255" s="1"/>
      <c r="I255" s="289"/>
      <c r="J255" s="1"/>
      <c r="K255" s="289"/>
      <c r="L255" s="289"/>
      <c r="M255" s="289"/>
      <c r="N255" s="289"/>
      <c r="O255" s="289"/>
      <c r="P255" s="289"/>
      <c r="Q255" s="1"/>
      <c r="R255" s="1"/>
      <c r="S255" s="1"/>
      <c r="T255" s="1"/>
      <c r="U255" s="1"/>
      <c r="V255" s="1"/>
      <c r="W255" s="1"/>
      <c r="X255" s="1"/>
      <c r="Y255" s="1"/>
      <c r="Z255" s="1"/>
      <c r="AA255" s="1"/>
      <c r="AB255" s="1"/>
      <c r="AC255" s="1"/>
      <c r="AD255" s="1"/>
      <c r="AE255" s="1"/>
      <c r="AF255" s="1"/>
      <c r="AG255" s="1"/>
      <c r="AH255" s="1"/>
      <c r="AI255" s="1"/>
      <c r="AJ255" s="1"/>
      <c r="AK255" s="1"/>
      <c r="AL255" s="1"/>
    </row>
    <row r="256" spans="1:38">
      <c r="A256" s="1"/>
      <c r="B256" s="358"/>
      <c r="C256" s="358"/>
      <c r="D256" s="1"/>
      <c r="E256" s="283"/>
      <c r="F256" s="1"/>
      <c r="G256" s="283" t="s">
        <v>1144</v>
      </c>
      <c r="H256" s="1"/>
      <c r="I256" s="289"/>
      <c r="J256" s="1"/>
      <c r="K256" s="289"/>
      <c r="L256" s="289"/>
      <c r="M256" s="289"/>
      <c r="N256" s="289"/>
      <c r="O256" s="289"/>
      <c r="P256" s="289"/>
      <c r="Q256" s="1"/>
      <c r="R256" s="1"/>
      <c r="S256" s="1"/>
      <c r="T256" s="1"/>
      <c r="U256" s="1"/>
      <c r="V256" s="1"/>
      <c r="W256" s="1"/>
      <c r="X256" s="1"/>
      <c r="Y256" s="1"/>
      <c r="Z256" s="1"/>
      <c r="AA256" s="1"/>
      <c r="AB256" s="1"/>
      <c r="AC256" s="1"/>
      <c r="AD256" s="1"/>
      <c r="AE256" s="1"/>
      <c r="AF256" s="1"/>
      <c r="AG256" s="1"/>
      <c r="AH256" s="1"/>
      <c r="AI256" s="1"/>
      <c r="AJ256" s="1"/>
      <c r="AK256" s="1"/>
      <c r="AL256" s="1"/>
    </row>
    <row r="257" spans="1:38">
      <c r="A257" s="1"/>
      <c r="B257" s="358"/>
      <c r="C257" s="358"/>
      <c r="D257" s="1"/>
      <c r="E257" s="283"/>
      <c r="F257" s="1" t="s">
        <v>79</v>
      </c>
      <c r="G257" s="283" t="s">
        <v>1332</v>
      </c>
      <c r="H257" s="1"/>
      <c r="I257" s="283"/>
      <c r="J257" s="1"/>
      <c r="K257" s="283"/>
      <c r="L257" s="283"/>
      <c r="M257" s="283"/>
      <c r="N257" s="283"/>
      <c r="O257" s="283"/>
      <c r="P257" s="283"/>
      <c r="Q257" s="289"/>
      <c r="R257" s="289"/>
      <c r="S257" s="289"/>
      <c r="T257" s="289"/>
      <c r="U257" s="289"/>
      <c r="V257" s="1"/>
      <c r="W257" s="1"/>
      <c r="X257" s="1"/>
      <c r="Y257" s="1"/>
      <c r="Z257" s="1"/>
      <c r="AA257" s="1"/>
      <c r="AB257" s="1"/>
      <c r="AC257" s="1"/>
      <c r="AD257" s="1"/>
      <c r="AE257" s="1"/>
      <c r="AF257" s="1"/>
      <c r="AG257" s="1"/>
      <c r="AH257" s="1"/>
      <c r="AI257" s="1"/>
      <c r="AJ257" s="1"/>
      <c r="AK257" s="1"/>
      <c r="AL257" s="1"/>
    </row>
    <row r="258" spans="1:38">
      <c r="A258" s="1"/>
      <c r="B258" s="358"/>
      <c r="C258" s="358"/>
      <c r="D258" s="1"/>
      <c r="E258" s="283"/>
      <c r="F258" s="1"/>
      <c r="G258" s="283" t="s">
        <v>1170</v>
      </c>
      <c r="H258" s="1"/>
      <c r="I258" s="283"/>
      <c r="J258" s="1"/>
      <c r="K258" s="283"/>
      <c r="L258" s="283"/>
      <c r="M258" s="283"/>
      <c r="N258" s="283"/>
      <c r="O258" s="283"/>
      <c r="P258" s="283"/>
      <c r="Q258" s="283"/>
      <c r="R258" s="283"/>
      <c r="S258" s="283"/>
      <c r="T258" s="283"/>
      <c r="U258" s="283"/>
      <c r="V258" s="1"/>
      <c r="W258" s="1"/>
      <c r="X258" s="1"/>
      <c r="Y258" s="1"/>
      <c r="Z258" s="1"/>
      <c r="AA258" s="1"/>
      <c r="AB258" s="1"/>
      <c r="AC258" s="1"/>
      <c r="AD258" s="1"/>
      <c r="AE258" s="1"/>
      <c r="AF258" s="1"/>
      <c r="AG258" s="1"/>
      <c r="AH258" s="1"/>
      <c r="AI258" s="1"/>
      <c r="AJ258" s="1"/>
      <c r="AK258" s="1"/>
      <c r="AL258" s="1"/>
    </row>
    <row r="259" spans="1:38">
      <c r="A259" s="1"/>
      <c r="B259" s="358"/>
      <c r="C259" s="358"/>
      <c r="D259" s="1"/>
      <c r="E259" s="283"/>
      <c r="F259" s="1"/>
      <c r="G259" s="283"/>
      <c r="H259" s="1"/>
      <c r="I259" s="283"/>
      <c r="J259" s="1"/>
      <c r="K259" s="283"/>
      <c r="L259" s="283"/>
      <c r="M259" s="283"/>
      <c r="N259" s="283"/>
      <c r="O259" s="283"/>
      <c r="P259" s="283"/>
      <c r="Q259" s="283"/>
      <c r="R259" s="283"/>
      <c r="S259" s="283"/>
      <c r="T259" s="283"/>
      <c r="U259" s="283"/>
      <c r="V259" s="1"/>
      <c r="W259" s="1"/>
      <c r="X259" s="1"/>
      <c r="Y259" s="1"/>
      <c r="Z259" s="1"/>
      <c r="AA259" s="1"/>
      <c r="AB259" s="1"/>
      <c r="AC259" s="1"/>
      <c r="AD259" s="1"/>
      <c r="AE259" s="1"/>
      <c r="AF259" s="1"/>
      <c r="AG259" s="1"/>
      <c r="AH259" s="1"/>
      <c r="AI259" s="1"/>
      <c r="AJ259" s="1"/>
      <c r="AK259" s="1"/>
      <c r="AL259" s="1"/>
    </row>
    <row r="260" spans="1:38">
      <c r="A260" s="1"/>
      <c r="B260" s="358"/>
      <c r="C260" s="358"/>
      <c r="D260" s="358" t="s">
        <v>901</v>
      </c>
      <c r="E260" s="358" t="s">
        <v>167</v>
      </c>
      <c r="F260" s="1"/>
      <c r="G260" s="283"/>
      <c r="H260" s="283"/>
      <c r="I260" s="283"/>
      <c r="J260" s="283"/>
      <c r="K260" s="283"/>
      <c r="L260" s="283"/>
      <c r="M260" s="283"/>
      <c r="N260" s="283"/>
      <c r="O260" s="283"/>
      <c r="P260" s="283"/>
      <c r="Q260" s="283"/>
      <c r="R260" s="283"/>
      <c r="S260" s="283"/>
      <c r="T260" s="1"/>
      <c r="U260" s="1"/>
      <c r="V260" s="1"/>
      <c r="W260" s="1"/>
      <c r="X260" s="1"/>
      <c r="Y260" s="1"/>
      <c r="Z260" s="1"/>
      <c r="AA260" s="1"/>
      <c r="AB260" s="1"/>
      <c r="AC260" s="1"/>
      <c r="AD260" s="1"/>
      <c r="AE260" s="1"/>
      <c r="AF260" s="1"/>
      <c r="AG260" s="1"/>
      <c r="AH260" s="1"/>
      <c r="AI260" s="1"/>
      <c r="AJ260" s="1"/>
      <c r="AK260" s="1"/>
      <c r="AL260" s="1"/>
    </row>
    <row r="261" spans="1:38">
      <c r="A261" s="1"/>
      <c r="B261" s="358"/>
      <c r="C261" s="358"/>
      <c r="D261" s="1"/>
      <c r="E261" s="283" t="s">
        <v>1004</v>
      </c>
      <c r="F261" s="283" t="s">
        <v>390</v>
      </c>
      <c r="G261" s="283"/>
      <c r="H261" s="1"/>
      <c r="I261" s="283"/>
      <c r="J261" s="283"/>
      <c r="K261" s="283"/>
      <c r="L261" s="283"/>
      <c r="M261" s="283"/>
      <c r="N261" s="283"/>
      <c r="O261" s="283"/>
      <c r="P261" s="283"/>
      <c r="Q261" s="283"/>
      <c r="R261" s="283"/>
      <c r="S261" s="283"/>
      <c r="T261" s="1"/>
      <c r="U261" s="1"/>
      <c r="V261" s="1"/>
      <c r="W261" s="1"/>
      <c r="X261" s="1"/>
      <c r="Y261" s="1"/>
      <c r="Z261" s="1"/>
      <c r="AA261" s="1"/>
      <c r="AB261" s="1"/>
      <c r="AC261" s="1"/>
      <c r="AD261" s="1"/>
      <c r="AE261" s="1"/>
      <c r="AF261" s="1"/>
      <c r="AG261" s="1"/>
      <c r="AH261" s="1"/>
      <c r="AI261" s="1"/>
      <c r="AJ261" s="1"/>
      <c r="AK261" s="1"/>
      <c r="AL261" s="1"/>
    </row>
    <row r="262" spans="1:38">
      <c r="A262" s="1"/>
      <c r="B262" s="358"/>
      <c r="C262" s="358"/>
      <c r="D262" s="1"/>
      <c r="E262" s="283" t="s">
        <v>1005</v>
      </c>
      <c r="F262" s="283" t="s">
        <v>1115</v>
      </c>
      <c r="G262" s="283"/>
      <c r="H262" s="1"/>
      <c r="I262" s="283"/>
      <c r="J262" s="283"/>
      <c r="K262" s="283"/>
      <c r="L262" s="283"/>
      <c r="M262" s="283"/>
      <c r="N262" s="283"/>
      <c r="O262" s="283"/>
      <c r="P262" s="283"/>
      <c r="Q262" s="283"/>
      <c r="R262" s="283"/>
      <c r="S262" s="283"/>
      <c r="T262" s="1"/>
      <c r="U262" s="1"/>
      <c r="V262" s="1"/>
      <c r="W262" s="1"/>
      <c r="X262" s="1"/>
      <c r="Y262" s="1"/>
      <c r="Z262" s="1"/>
      <c r="AA262" s="1"/>
      <c r="AB262" s="1"/>
      <c r="AC262" s="1"/>
      <c r="AD262" s="1"/>
      <c r="AE262" s="1"/>
      <c r="AF262" s="1"/>
      <c r="AG262" s="1"/>
      <c r="AH262" s="1"/>
      <c r="AI262" s="1"/>
      <c r="AJ262" s="1"/>
      <c r="AK262" s="1"/>
      <c r="AL262" s="1"/>
    </row>
    <row r="263" spans="1:38">
      <c r="A263" s="1"/>
      <c r="B263" s="358"/>
      <c r="C263" s="358"/>
      <c r="D263" s="1"/>
      <c r="E263" s="283" t="s">
        <v>1011</v>
      </c>
      <c r="F263" s="283" t="s">
        <v>391</v>
      </c>
      <c r="G263" s="1"/>
      <c r="H263" s="1"/>
      <c r="I263" s="283"/>
      <c r="J263" s="283"/>
      <c r="K263" s="283"/>
      <c r="L263" s="283"/>
      <c r="M263" s="283"/>
      <c r="N263" s="283"/>
      <c r="O263" s="283"/>
      <c r="P263" s="283"/>
      <c r="Q263" s="283"/>
      <c r="R263" s="283"/>
      <c r="S263" s="283"/>
      <c r="T263" s="1"/>
      <c r="U263" s="1"/>
      <c r="V263" s="1"/>
      <c r="W263" s="1"/>
      <c r="X263" s="1"/>
      <c r="Y263" s="1"/>
      <c r="Z263" s="1"/>
      <c r="AA263" s="1"/>
      <c r="AB263" s="1"/>
      <c r="AC263" s="1"/>
      <c r="AD263" s="1"/>
      <c r="AE263" s="1"/>
      <c r="AF263" s="1"/>
      <c r="AG263" s="1"/>
      <c r="AH263" s="1"/>
      <c r="AI263" s="1"/>
      <c r="AJ263" s="1"/>
      <c r="AK263" s="1"/>
      <c r="AL263" s="1"/>
    </row>
    <row r="264" spans="1:38">
      <c r="A264" s="1"/>
      <c r="B264" s="358"/>
      <c r="C264" s="358"/>
      <c r="D264" s="1"/>
      <c r="E264" s="358"/>
      <c r="F264" s="283" t="s">
        <v>1116</v>
      </c>
      <c r="G264" s="1"/>
      <c r="H264" s="1"/>
      <c r="I264" s="283"/>
      <c r="J264" s="283"/>
      <c r="K264" s="283"/>
      <c r="L264" s="283"/>
      <c r="M264" s="283"/>
      <c r="N264" s="283"/>
      <c r="O264" s="283"/>
      <c r="P264" s="283"/>
      <c r="Q264" s="283"/>
      <c r="R264" s="283"/>
      <c r="S264" s="283"/>
      <c r="T264" s="1"/>
      <c r="U264" s="1"/>
      <c r="V264" s="1"/>
      <c r="W264" s="1"/>
      <c r="X264" s="1"/>
      <c r="Y264" s="1"/>
      <c r="Z264" s="1"/>
      <c r="AA264" s="1"/>
      <c r="AB264" s="1"/>
      <c r="AC264" s="1"/>
      <c r="AD264" s="1"/>
      <c r="AE264" s="1"/>
      <c r="AF264" s="1"/>
      <c r="AG264" s="1"/>
      <c r="AH264" s="1"/>
      <c r="AI264" s="1"/>
      <c r="AJ264" s="1"/>
      <c r="AK264" s="1"/>
      <c r="AL264" s="1"/>
    </row>
    <row r="265" spans="1:38">
      <c r="A265" s="1"/>
      <c r="B265" s="358"/>
      <c r="C265" s="358"/>
      <c r="D265" s="1"/>
      <c r="E265" s="283" t="s">
        <v>480</v>
      </c>
      <c r="F265" s="283" t="s">
        <v>1145</v>
      </c>
      <c r="G265" s="1"/>
      <c r="H265" s="1"/>
      <c r="I265" s="283"/>
      <c r="J265" s="283"/>
      <c r="K265" s="283"/>
      <c r="L265" s="283"/>
      <c r="M265" s="283"/>
      <c r="N265" s="283"/>
      <c r="O265" s="283"/>
      <c r="P265" s="283"/>
      <c r="Q265" s="283"/>
      <c r="R265" s="283"/>
      <c r="S265" s="283"/>
      <c r="T265" s="1"/>
      <c r="U265" s="1"/>
      <c r="V265" s="1"/>
      <c r="W265" s="1"/>
      <c r="X265" s="1"/>
      <c r="Y265" s="1"/>
      <c r="Z265" s="1"/>
      <c r="AA265" s="1"/>
      <c r="AB265" s="1"/>
      <c r="AC265" s="1"/>
      <c r="AD265" s="1"/>
      <c r="AE265" s="1"/>
      <c r="AF265" s="1"/>
      <c r="AG265" s="1"/>
      <c r="AH265" s="1"/>
      <c r="AI265" s="1"/>
      <c r="AJ265" s="1"/>
      <c r="AK265" s="1"/>
      <c r="AL265" s="1"/>
    </row>
    <row r="266" spans="1:38">
      <c r="A266" s="1"/>
      <c r="B266" s="358"/>
      <c r="C266" s="358"/>
      <c r="D266" s="1"/>
      <c r="E266" s="358"/>
      <c r="F266" s="283"/>
      <c r="G266" s="1"/>
      <c r="H266" s="283"/>
      <c r="I266" s="283"/>
      <c r="J266" s="283"/>
      <c r="K266" s="283"/>
      <c r="L266" s="283"/>
      <c r="M266" s="283"/>
      <c r="N266" s="283"/>
      <c r="O266" s="283"/>
      <c r="P266" s="283"/>
      <c r="Q266" s="283"/>
      <c r="R266" s="283"/>
      <c r="S266" s="283"/>
      <c r="T266" s="1"/>
      <c r="U266" s="1"/>
      <c r="V266" s="1"/>
      <c r="W266" s="1"/>
      <c r="X266" s="1"/>
      <c r="Y266" s="1"/>
      <c r="Z266" s="1"/>
      <c r="AA266" s="1"/>
      <c r="AB266" s="1"/>
      <c r="AC266" s="1"/>
      <c r="AD266" s="1"/>
      <c r="AE266" s="1"/>
      <c r="AF266" s="1"/>
      <c r="AG266" s="1"/>
      <c r="AH266" s="1"/>
      <c r="AI266" s="1"/>
      <c r="AJ266" s="1"/>
      <c r="AK266" s="1"/>
      <c r="AL266" s="1"/>
    </row>
    <row r="267" spans="1:38">
      <c r="A267" s="1"/>
      <c r="B267" s="358"/>
      <c r="C267" s="358"/>
      <c r="D267" s="358" t="s">
        <v>514</v>
      </c>
      <c r="E267" s="358" t="s">
        <v>861</v>
      </c>
      <c r="F267" s="1"/>
      <c r="G267" s="283"/>
      <c r="H267" s="283"/>
      <c r="I267" s="283"/>
      <c r="J267" s="283"/>
      <c r="K267" s="283"/>
      <c r="L267" s="283"/>
      <c r="M267" s="283"/>
      <c r="N267" s="283"/>
      <c r="O267" s="283"/>
      <c r="P267" s="283"/>
      <c r="Q267" s="283"/>
      <c r="R267" s="283"/>
      <c r="S267" s="283"/>
      <c r="T267" s="1"/>
      <c r="U267" s="1"/>
      <c r="V267" s="1"/>
      <c r="W267" s="1"/>
      <c r="X267" s="1"/>
      <c r="Y267" s="1"/>
      <c r="Z267" s="1"/>
      <c r="AA267" s="1"/>
      <c r="AB267" s="1"/>
      <c r="AC267" s="1"/>
      <c r="AD267" s="1"/>
      <c r="AE267" s="1"/>
      <c r="AF267" s="1"/>
      <c r="AG267" s="1"/>
      <c r="AH267" s="1"/>
      <c r="AI267" s="1"/>
      <c r="AJ267" s="1"/>
      <c r="AK267" s="1"/>
      <c r="AL267" s="1"/>
    </row>
    <row r="268" spans="1:38">
      <c r="A268" s="1"/>
      <c r="B268" s="358"/>
      <c r="C268" s="358"/>
      <c r="D268" s="1"/>
      <c r="E268" s="283" t="s">
        <v>49</v>
      </c>
      <c r="F268" s="283"/>
      <c r="G268" s="283"/>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row>
    <row r="269" spans="1:38">
      <c r="A269" s="1"/>
      <c r="B269" s="358"/>
      <c r="C269" s="358"/>
      <c r="D269" s="1"/>
      <c r="E269" s="358"/>
      <c r="F269" s="1"/>
      <c r="G269" s="283"/>
      <c r="H269" s="283"/>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row>
    <row r="270" spans="1:38">
      <c r="A270" s="1"/>
      <c r="B270" s="358"/>
      <c r="C270" s="358"/>
      <c r="D270" s="358" t="s">
        <v>932</v>
      </c>
      <c r="E270" s="358" t="s">
        <v>288</v>
      </c>
      <c r="F270" s="1"/>
      <c r="G270" s="283"/>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row>
    <row r="271" spans="1:38">
      <c r="A271" s="1"/>
      <c r="B271" s="358"/>
      <c r="C271" s="358"/>
      <c r="D271" s="1"/>
      <c r="E271" s="283" t="s">
        <v>50</v>
      </c>
      <c r="F271" s="283"/>
      <c r="G271" s="283"/>
      <c r="H271" s="1"/>
      <c r="I271" s="1"/>
      <c r="J271" s="283"/>
      <c r="K271" s="283"/>
      <c r="L271" s="283"/>
      <c r="M271" s="283"/>
      <c r="N271" s="283"/>
      <c r="O271" s="283"/>
      <c r="P271" s="283"/>
      <c r="Q271" s="283"/>
      <c r="R271" s="283"/>
      <c r="S271" s="283"/>
      <c r="T271" s="283"/>
      <c r="U271" s="283"/>
      <c r="V271" s="1"/>
      <c r="W271" s="1"/>
      <c r="X271" s="1"/>
      <c r="Y271" s="1"/>
      <c r="Z271" s="1"/>
      <c r="AA271" s="1"/>
      <c r="AB271" s="1"/>
      <c r="AC271" s="1"/>
      <c r="AD271" s="1"/>
      <c r="AE271" s="1"/>
      <c r="AF271" s="1"/>
      <c r="AG271" s="1"/>
      <c r="AH271" s="1"/>
      <c r="AI271" s="1"/>
      <c r="AJ271" s="1"/>
      <c r="AK271" s="1"/>
      <c r="AL271" s="1"/>
    </row>
    <row r="272" spans="1:38">
      <c r="A272" s="1"/>
      <c r="B272" s="358"/>
      <c r="C272" s="358"/>
      <c r="D272" s="1"/>
      <c r="E272" s="283" t="s">
        <v>51</v>
      </c>
      <c r="F272" s="283"/>
      <c r="G272" s="283"/>
      <c r="H272" s="1"/>
      <c r="I272" s="1"/>
      <c r="J272" s="283"/>
      <c r="K272" s="283"/>
      <c r="L272" s="283"/>
      <c r="M272" s="283"/>
      <c r="N272" s="283"/>
      <c r="O272" s="283"/>
      <c r="P272" s="283"/>
      <c r="Q272" s="283"/>
      <c r="R272" s="283"/>
      <c r="S272" s="283"/>
      <c r="T272" s="283"/>
      <c r="U272" s="283"/>
      <c r="V272" s="1"/>
      <c r="W272" s="1"/>
      <c r="X272" s="1"/>
      <c r="Y272" s="1"/>
      <c r="Z272" s="1"/>
      <c r="AA272" s="1"/>
      <c r="AB272" s="1"/>
      <c r="AC272" s="1"/>
      <c r="AD272" s="1"/>
      <c r="AE272" s="1"/>
      <c r="AF272" s="1"/>
      <c r="AG272" s="1"/>
      <c r="AH272" s="1"/>
      <c r="AI272" s="1"/>
      <c r="AJ272" s="1"/>
      <c r="AK272" s="1"/>
      <c r="AL272" s="1"/>
    </row>
    <row r="273" spans="1:38">
      <c r="A273" s="1"/>
      <c r="B273" s="358"/>
      <c r="C273" s="358"/>
      <c r="D273" s="1"/>
      <c r="E273" s="358"/>
      <c r="F273" s="1"/>
      <c r="G273" s="283"/>
      <c r="H273" s="283"/>
      <c r="I273" s="1"/>
      <c r="J273" s="283"/>
      <c r="K273" s="283"/>
      <c r="L273" s="283"/>
      <c r="M273" s="283"/>
      <c r="N273" s="283"/>
      <c r="O273" s="283"/>
      <c r="P273" s="283"/>
      <c r="Q273" s="283"/>
      <c r="R273" s="283"/>
      <c r="S273" s="283"/>
      <c r="T273" s="283"/>
      <c r="U273" s="283"/>
      <c r="V273" s="1"/>
      <c r="W273" s="1"/>
      <c r="X273" s="1"/>
      <c r="Y273" s="1"/>
      <c r="Z273" s="1"/>
      <c r="AA273" s="1"/>
      <c r="AB273" s="1"/>
      <c r="AC273" s="1"/>
      <c r="AD273" s="1"/>
      <c r="AE273" s="1"/>
      <c r="AF273" s="1"/>
      <c r="AG273" s="1"/>
      <c r="AH273" s="1"/>
      <c r="AI273" s="1"/>
      <c r="AJ273" s="1"/>
      <c r="AK273" s="1"/>
      <c r="AL273" s="1"/>
    </row>
    <row r="274" spans="1:38">
      <c r="A274" s="1"/>
      <c r="B274" s="358"/>
      <c r="C274" s="1"/>
      <c r="D274" s="358" t="s">
        <v>821</v>
      </c>
      <c r="E274" s="358" t="s">
        <v>168</v>
      </c>
      <c r="F274" s="1"/>
      <c r="G274" s="283"/>
      <c r="H274" s="283"/>
      <c r="I274" s="1"/>
      <c r="J274" s="283"/>
      <c r="K274" s="283"/>
      <c r="L274" s="283"/>
      <c r="M274" s="283"/>
      <c r="N274" s="283"/>
      <c r="O274" s="283"/>
      <c r="P274" s="283"/>
      <c r="Q274" s="283"/>
      <c r="R274" s="283"/>
      <c r="S274" s="283"/>
      <c r="T274" s="283"/>
      <c r="U274" s="283"/>
      <c r="V274" s="1"/>
      <c r="W274" s="1"/>
      <c r="X274" s="1"/>
      <c r="Y274" s="1"/>
      <c r="Z274" s="1"/>
      <c r="AA274" s="1"/>
      <c r="AB274" s="1"/>
      <c r="AC274" s="1"/>
      <c r="AD274" s="1"/>
      <c r="AE274" s="1"/>
      <c r="AF274" s="1"/>
      <c r="AG274" s="1"/>
      <c r="AH274" s="1"/>
      <c r="AI274" s="1"/>
      <c r="AJ274" s="1"/>
      <c r="AK274" s="1"/>
      <c r="AL274" s="1"/>
    </row>
    <row r="275" spans="1:38">
      <c r="A275" s="1"/>
      <c r="B275" s="358"/>
      <c r="C275" s="1"/>
      <c r="D275" s="283"/>
      <c r="E275" s="289" t="s">
        <v>2196</v>
      </c>
      <c r="F275" s="1"/>
      <c r="G275" s="1"/>
      <c r="H275" s="1"/>
      <c r="I275" s="1"/>
      <c r="J275" s="283"/>
      <c r="K275" s="283"/>
      <c r="L275" s="283"/>
      <c r="M275" s="283"/>
      <c r="N275" s="283"/>
      <c r="O275" s="283"/>
      <c r="P275" s="283"/>
      <c r="Q275" s="283"/>
      <c r="R275" s="283"/>
      <c r="S275" s="283"/>
      <c r="T275" s="283"/>
      <c r="U275" s="283"/>
      <c r="V275" s="1"/>
      <c r="W275" s="1"/>
      <c r="X275" s="1"/>
      <c r="Y275" s="1"/>
      <c r="Z275" s="1"/>
      <c r="AA275" s="1"/>
      <c r="AB275" s="1"/>
      <c r="AC275" s="1"/>
      <c r="AD275" s="1"/>
      <c r="AE275" s="1"/>
      <c r="AF275" s="1"/>
      <c r="AG275" s="1"/>
      <c r="AH275" s="1"/>
      <c r="AI275" s="1"/>
      <c r="AJ275" s="1"/>
      <c r="AK275" s="1"/>
      <c r="AL275" s="1"/>
    </row>
    <row r="276" spans="1:38">
      <c r="A276" s="1"/>
      <c r="B276" s="358"/>
      <c r="C276" s="1"/>
      <c r="D276" s="283"/>
      <c r="E276" s="289" t="s">
        <v>2197</v>
      </c>
      <c r="F276" s="283"/>
      <c r="G276" s="1"/>
      <c r="H276" s="1"/>
      <c r="I276" s="1"/>
      <c r="J276" s="283"/>
      <c r="K276" s="283"/>
      <c r="L276" s="283"/>
      <c r="M276" s="283"/>
      <c r="N276" s="283"/>
      <c r="O276" s="283"/>
      <c r="P276" s="283"/>
      <c r="Q276" s="283"/>
      <c r="R276" s="283"/>
      <c r="S276" s="283"/>
      <c r="T276" s="283"/>
      <c r="U276" s="283"/>
      <c r="V276" s="1"/>
      <c r="W276" s="1"/>
      <c r="X276" s="1"/>
      <c r="Y276" s="1"/>
      <c r="Z276" s="1"/>
      <c r="AA276" s="1"/>
      <c r="AB276" s="1"/>
      <c r="AC276" s="1"/>
      <c r="AD276" s="1"/>
      <c r="AE276" s="1"/>
      <c r="AF276" s="1"/>
      <c r="AG276" s="1"/>
      <c r="AH276" s="1"/>
      <c r="AI276" s="1"/>
      <c r="AJ276" s="1"/>
      <c r="AK276" s="1"/>
      <c r="AL276" s="1"/>
    </row>
    <row r="277" spans="1:38">
      <c r="A277" s="1"/>
      <c r="B277" s="358"/>
      <c r="C277" s="1"/>
      <c r="D277" s="283"/>
      <c r="E277" s="283"/>
      <c r="F277" s="1"/>
      <c r="G277" s="1"/>
      <c r="H277" s="1"/>
      <c r="I277" s="1"/>
      <c r="J277" s="283"/>
      <c r="K277" s="283"/>
      <c r="L277" s="283"/>
      <c r="M277" s="283"/>
      <c r="N277" s="283"/>
      <c r="O277" s="283"/>
      <c r="P277" s="283"/>
      <c r="Q277" s="283"/>
      <c r="R277" s="283"/>
      <c r="S277" s="283"/>
      <c r="T277" s="283"/>
      <c r="U277" s="283"/>
      <c r="V277" s="1"/>
      <c r="W277" s="1"/>
      <c r="X277" s="1"/>
      <c r="Y277" s="1"/>
      <c r="Z277" s="1"/>
      <c r="AA277" s="1"/>
      <c r="AB277" s="1"/>
      <c r="AC277" s="1"/>
      <c r="AD277" s="1"/>
      <c r="AE277" s="1"/>
      <c r="AF277" s="1"/>
      <c r="AG277" s="1"/>
      <c r="AH277" s="1"/>
      <c r="AI277" s="1"/>
      <c r="AJ277" s="1"/>
      <c r="AK277" s="1"/>
      <c r="AL277" s="1"/>
    </row>
    <row r="278" spans="1:38">
      <c r="A278" s="1"/>
      <c r="B278" s="358"/>
      <c r="C278" s="1"/>
      <c r="D278" s="358" t="s">
        <v>553</v>
      </c>
      <c r="E278" s="358" t="s">
        <v>289</v>
      </c>
      <c r="F278" s="1"/>
      <c r="G278" s="1"/>
      <c r="H278" s="1"/>
      <c r="I278" s="1"/>
      <c r="J278" s="1"/>
      <c r="K278" s="283"/>
      <c r="L278" s="283"/>
      <c r="M278" s="283"/>
      <c r="N278" s="283"/>
      <c r="O278" s="283"/>
      <c r="P278" s="283"/>
      <c r="Q278" s="283"/>
      <c r="R278" s="283"/>
      <c r="S278" s="283"/>
      <c r="T278" s="1"/>
      <c r="U278" s="1"/>
      <c r="V278" s="1"/>
      <c r="W278" s="1"/>
      <c r="X278" s="1"/>
      <c r="Y278" s="1"/>
      <c r="Z278" s="1"/>
      <c r="AA278" s="1"/>
      <c r="AB278" s="1"/>
      <c r="AC278" s="1"/>
      <c r="AD278" s="1"/>
      <c r="AE278" s="1"/>
      <c r="AF278" s="1"/>
      <c r="AG278" s="1"/>
      <c r="AH278" s="1"/>
      <c r="AI278" s="1"/>
      <c r="AJ278" s="1"/>
      <c r="AK278" s="1"/>
      <c r="AL278" s="1"/>
    </row>
    <row r="279" spans="1:38">
      <c r="A279" s="1"/>
      <c r="B279" s="358"/>
      <c r="C279" s="1"/>
      <c r="D279" s="358"/>
      <c r="E279" s="1" t="s">
        <v>52</v>
      </c>
      <c r="F279" s="1"/>
      <c r="G279" s="1"/>
      <c r="H279" s="1"/>
      <c r="I279" s="1"/>
      <c r="J279" s="1"/>
      <c r="K279" s="283"/>
      <c r="L279" s="283"/>
      <c r="M279" s="283"/>
      <c r="N279" s="283"/>
      <c r="O279" s="283"/>
      <c r="P279" s="283"/>
      <c r="Q279" s="283"/>
      <c r="R279" s="283"/>
      <c r="S279" s="283"/>
      <c r="T279" s="1"/>
      <c r="U279" s="1"/>
      <c r="V279" s="1"/>
      <c r="W279" s="1"/>
      <c r="X279" s="1"/>
      <c r="Y279" s="1"/>
      <c r="Z279" s="1"/>
      <c r="AA279" s="1"/>
      <c r="AB279" s="1"/>
      <c r="AC279" s="1"/>
      <c r="AD279" s="1"/>
      <c r="AE279" s="1"/>
      <c r="AF279" s="1"/>
      <c r="AG279" s="1"/>
      <c r="AH279" s="1"/>
      <c r="AI279" s="1"/>
      <c r="AJ279" s="1"/>
      <c r="AK279" s="1"/>
      <c r="AL279" s="1"/>
    </row>
    <row r="280" spans="1:38">
      <c r="A280" s="1"/>
      <c r="B280" s="358"/>
      <c r="C280" s="1"/>
      <c r="D280" s="283"/>
      <c r="E280" s="283" t="s">
        <v>1328</v>
      </c>
      <c r="F280" s="283"/>
      <c r="G280" s="1"/>
      <c r="H280" s="1"/>
      <c r="I280" s="283"/>
      <c r="J280" s="283"/>
      <c r="K280" s="283"/>
      <c r="L280" s="283"/>
      <c r="M280" s="283"/>
      <c r="N280" s="283"/>
      <c r="O280" s="283"/>
      <c r="P280" s="283"/>
      <c r="Q280" s="283"/>
      <c r="R280" s="283"/>
      <c r="S280" s="283"/>
      <c r="T280" s="1"/>
      <c r="U280" s="1"/>
      <c r="V280" s="1"/>
      <c r="W280" s="1"/>
      <c r="X280" s="1"/>
      <c r="Y280" s="1"/>
      <c r="Z280" s="1"/>
      <c r="AA280" s="1"/>
      <c r="AB280" s="1"/>
      <c r="AC280" s="1"/>
      <c r="AD280" s="1"/>
      <c r="AE280" s="1"/>
      <c r="AF280" s="1"/>
      <c r="AG280" s="1"/>
      <c r="AH280" s="1"/>
      <c r="AI280" s="1"/>
      <c r="AJ280" s="1"/>
      <c r="AK280" s="1"/>
      <c r="AL280" s="1"/>
    </row>
    <row r="281" spans="1:38">
      <c r="A281" s="1"/>
      <c r="B281" s="358"/>
      <c r="C281" s="1"/>
      <c r="D281" s="358"/>
      <c r="E281" s="283"/>
      <c r="F281" s="1"/>
      <c r="G281" s="1"/>
      <c r="H281" s="1"/>
      <c r="I281" s="283"/>
      <c r="J281" s="283"/>
      <c r="K281" s="283"/>
      <c r="L281" s="283"/>
      <c r="M281" s="283"/>
      <c r="N281" s="283"/>
      <c r="O281" s="283"/>
      <c r="P281" s="283"/>
      <c r="Q281" s="283"/>
      <c r="R281" s="283"/>
      <c r="S281" s="283"/>
      <c r="T281" s="1"/>
      <c r="U281" s="1"/>
      <c r="V281" s="1"/>
      <c r="W281" s="1"/>
      <c r="X281" s="1"/>
      <c r="Y281" s="1"/>
      <c r="Z281" s="1"/>
      <c r="AA281" s="1"/>
      <c r="AB281" s="1"/>
      <c r="AC281" s="1"/>
      <c r="AD281" s="1"/>
      <c r="AE281" s="1"/>
      <c r="AF281" s="1"/>
      <c r="AG281" s="1"/>
      <c r="AH281" s="1"/>
      <c r="AI281" s="1"/>
      <c r="AJ281" s="1"/>
      <c r="AK281" s="1"/>
      <c r="AL281" s="1"/>
    </row>
    <row r="282" spans="1:38">
      <c r="A282" s="1"/>
      <c r="B282" s="358"/>
      <c r="C282" s="1"/>
      <c r="D282" s="358" t="s">
        <v>304</v>
      </c>
      <c r="E282" s="358" t="s">
        <v>399</v>
      </c>
      <c r="F282" s="1"/>
      <c r="G282" s="283"/>
      <c r="H282" s="283"/>
      <c r="I282" s="283"/>
      <c r="J282" s="283"/>
      <c r="K282" s="283"/>
      <c r="L282" s="283"/>
      <c r="M282" s="283"/>
      <c r="N282" s="1"/>
      <c r="O282" s="1"/>
      <c r="P282" s="283"/>
      <c r="Q282" s="283"/>
      <c r="R282" s="283"/>
      <c r="S282" s="283"/>
      <c r="T282" s="1"/>
      <c r="U282" s="1"/>
      <c r="V282" s="1"/>
      <c r="W282" s="1"/>
      <c r="X282" s="1"/>
      <c r="Y282" s="1"/>
      <c r="Z282" s="1"/>
      <c r="AA282" s="1"/>
      <c r="AB282" s="1"/>
      <c r="AC282" s="1"/>
      <c r="AD282" s="1"/>
      <c r="AE282" s="1"/>
      <c r="AF282" s="1"/>
      <c r="AG282" s="1"/>
      <c r="AH282" s="1"/>
      <c r="AI282" s="1"/>
      <c r="AJ282" s="1"/>
      <c r="AK282" s="1"/>
      <c r="AL282" s="1"/>
    </row>
    <row r="283" spans="1:38">
      <c r="A283" s="1"/>
      <c r="B283" s="358"/>
      <c r="C283" s="1"/>
      <c r="D283" s="358"/>
      <c r="E283" s="1" t="s">
        <v>56</v>
      </c>
      <c r="F283" s="1"/>
      <c r="G283" s="283"/>
      <c r="H283" s="283"/>
      <c r="I283" s="283"/>
      <c r="J283" s="283"/>
      <c r="K283" s="283"/>
      <c r="L283" s="283"/>
      <c r="M283" s="283"/>
      <c r="N283" s="1"/>
      <c r="O283" s="1"/>
      <c r="P283" s="283"/>
      <c r="Q283" s="283"/>
      <c r="R283" s="283"/>
      <c r="S283" s="283"/>
      <c r="T283" s="1"/>
      <c r="U283" s="1"/>
      <c r="V283" s="1"/>
      <c r="W283" s="1"/>
      <c r="X283" s="1"/>
      <c r="Y283" s="1"/>
      <c r="Z283" s="1"/>
      <c r="AA283" s="1"/>
      <c r="AB283" s="1"/>
      <c r="AC283" s="1"/>
      <c r="AD283" s="1"/>
      <c r="AE283" s="1"/>
      <c r="AF283" s="1"/>
      <c r="AG283" s="1"/>
      <c r="AH283" s="1"/>
      <c r="AI283" s="1"/>
      <c r="AJ283" s="1"/>
      <c r="AK283" s="1"/>
      <c r="AL283" s="1"/>
    </row>
    <row r="284" spans="1:38">
      <c r="A284" s="1"/>
      <c r="B284" s="358"/>
      <c r="C284" s="1"/>
      <c r="D284" s="358"/>
      <c r="E284" s="1" t="s">
        <v>57</v>
      </c>
      <c r="F284" s="1"/>
      <c r="G284" s="283"/>
      <c r="H284" s="283"/>
      <c r="I284" s="283"/>
      <c r="J284" s="283"/>
      <c r="K284" s="283"/>
      <c r="L284" s="283"/>
      <c r="M284" s="283"/>
      <c r="N284" s="1"/>
      <c r="O284" s="1"/>
      <c r="P284" s="283"/>
      <c r="Q284" s="283"/>
      <c r="R284" s="283"/>
      <c r="S284" s="283"/>
      <c r="T284" s="1"/>
      <c r="U284" s="1"/>
      <c r="V284" s="1"/>
      <c r="W284" s="1"/>
      <c r="X284" s="1"/>
      <c r="Y284" s="1"/>
      <c r="Z284" s="1"/>
      <c r="AA284" s="1"/>
      <c r="AB284" s="1"/>
      <c r="AC284" s="1"/>
      <c r="AD284" s="1"/>
      <c r="AE284" s="1"/>
      <c r="AF284" s="1"/>
      <c r="AG284" s="1"/>
      <c r="AH284" s="1"/>
      <c r="AI284" s="1"/>
      <c r="AJ284" s="1"/>
      <c r="AK284" s="1"/>
      <c r="AL284" s="1"/>
    </row>
    <row r="285" spans="1:38">
      <c r="A285" s="1"/>
      <c r="B285" s="358"/>
      <c r="C285" s="1"/>
      <c r="D285" s="358"/>
      <c r="E285" s="1067" t="s">
        <v>1789</v>
      </c>
      <c r="F285" s="1067"/>
      <c r="G285" s="283"/>
      <c r="H285" s="1067"/>
      <c r="I285" s="1067"/>
      <c r="J285" s="283"/>
      <c r="K285" s="283"/>
      <c r="L285" s="283"/>
      <c r="M285" s="283"/>
      <c r="N285" s="1"/>
      <c r="O285" s="1"/>
      <c r="P285" s="283"/>
      <c r="Q285" s="283"/>
      <c r="R285" s="283"/>
      <c r="S285" s="283"/>
      <c r="T285" s="1"/>
      <c r="U285" s="1"/>
      <c r="V285" s="1"/>
      <c r="W285" s="1"/>
      <c r="X285" s="1"/>
      <c r="Y285" s="1"/>
      <c r="Z285" s="1"/>
      <c r="AA285" s="1"/>
      <c r="AB285" s="1"/>
      <c r="AC285" s="1"/>
      <c r="AD285" s="1"/>
      <c r="AE285" s="1"/>
      <c r="AF285" s="1"/>
      <c r="AG285" s="1"/>
      <c r="AH285" s="1"/>
      <c r="AI285" s="1"/>
      <c r="AJ285" s="1"/>
      <c r="AK285" s="1"/>
      <c r="AL285" s="1"/>
    </row>
    <row r="286" spans="1:38">
      <c r="A286" s="1"/>
      <c r="B286" s="358"/>
      <c r="C286" s="1"/>
      <c r="D286" s="358"/>
      <c r="E286" s="1081" t="s">
        <v>1169</v>
      </c>
      <c r="F286" s="1"/>
      <c r="G286" s="283"/>
      <c r="H286" s="1081"/>
      <c r="I286" s="1081"/>
      <c r="J286" s="283"/>
      <c r="K286" s="283"/>
      <c r="L286" s="283"/>
      <c r="M286" s="283"/>
      <c r="N286" s="1"/>
      <c r="O286" s="1"/>
      <c r="P286" s="283"/>
      <c r="Q286" s="283"/>
      <c r="R286" s="283"/>
      <c r="S286" s="283"/>
      <c r="T286" s="1"/>
      <c r="U286" s="1"/>
      <c r="V286" s="1"/>
      <c r="W286" s="1"/>
      <c r="X286" s="1"/>
      <c r="Y286" s="1"/>
      <c r="Z286" s="1"/>
      <c r="AA286" s="1"/>
      <c r="AB286" s="1"/>
      <c r="AC286" s="1"/>
      <c r="AD286" s="1"/>
      <c r="AE286" s="1"/>
      <c r="AF286" s="1"/>
      <c r="AG286" s="1"/>
      <c r="AH286" s="1"/>
      <c r="AI286" s="1"/>
      <c r="AJ286" s="1"/>
      <c r="AK286" s="1"/>
      <c r="AL286" s="1"/>
    </row>
    <row r="287" spans="1:38">
      <c r="A287" s="1"/>
      <c r="B287" s="358"/>
      <c r="C287" s="1"/>
      <c r="D287" s="358"/>
      <c r="E287" s="283"/>
      <c r="F287" s="283"/>
      <c r="G287" s="283"/>
      <c r="H287" s="283"/>
      <c r="I287" s="283"/>
      <c r="J287" s="283"/>
      <c r="K287" s="283"/>
      <c r="L287" s="283"/>
      <c r="M287" s="283"/>
      <c r="N287" s="1"/>
      <c r="O287" s="1"/>
      <c r="P287" s="283"/>
      <c r="Q287" s="283"/>
      <c r="R287" s="283"/>
      <c r="S287" s="283"/>
      <c r="T287" s="1"/>
      <c r="U287" s="1"/>
      <c r="V287" s="1"/>
      <c r="W287" s="1"/>
      <c r="X287" s="1"/>
      <c r="Y287" s="1"/>
      <c r="Z287" s="1"/>
      <c r="AA287" s="1"/>
      <c r="AB287" s="1"/>
      <c r="AC287" s="1"/>
      <c r="AD287" s="1"/>
      <c r="AE287" s="1"/>
      <c r="AF287" s="1"/>
      <c r="AG287" s="1"/>
      <c r="AH287" s="1"/>
      <c r="AI287" s="1"/>
      <c r="AJ287" s="1"/>
      <c r="AK287" s="1"/>
      <c r="AL287" s="1"/>
    </row>
    <row r="288" spans="1:38">
      <c r="A288" s="1"/>
      <c r="B288" s="358"/>
      <c r="C288" s="1"/>
      <c r="D288" s="358" t="s">
        <v>797</v>
      </c>
      <c r="E288" s="358" t="s">
        <v>147</v>
      </c>
      <c r="F288" s="1"/>
      <c r="G288" s="1"/>
      <c r="H288" s="1"/>
      <c r="I288" s="1"/>
      <c r="J288" s="1"/>
      <c r="K288" s="283"/>
      <c r="L288" s="283"/>
      <c r="M288" s="283"/>
      <c r="N288" s="283"/>
      <c r="O288" s="283"/>
      <c r="P288" s="283"/>
      <c r="Q288" s="283"/>
      <c r="R288" s="283"/>
      <c r="S288" s="283"/>
      <c r="T288" s="1"/>
      <c r="U288" s="1"/>
      <c r="V288" s="1"/>
      <c r="W288" s="1"/>
      <c r="X288" s="1"/>
      <c r="Y288" s="1"/>
      <c r="Z288" s="1"/>
      <c r="AA288" s="1"/>
      <c r="AB288" s="1"/>
      <c r="AC288" s="1"/>
      <c r="AD288" s="1"/>
      <c r="AE288" s="1"/>
      <c r="AF288" s="1"/>
      <c r="AG288" s="1"/>
      <c r="AH288" s="1"/>
      <c r="AI288" s="1"/>
      <c r="AJ288" s="1"/>
      <c r="AK288" s="1"/>
      <c r="AL288" s="1"/>
    </row>
    <row r="289" spans="1:38">
      <c r="A289" s="1"/>
      <c r="B289" s="358"/>
      <c r="C289" s="1"/>
      <c r="D289" s="283"/>
      <c r="E289" s="283" t="s">
        <v>1004</v>
      </c>
      <c r="F289" s="283" t="s">
        <v>148</v>
      </c>
      <c r="G289" s="283"/>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row>
    <row r="290" spans="1:38">
      <c r="A290" s="1"/>
      <c r="B290" s="358"/>
      <c r="C290" s="1"/>
      <c r="D290" s="283"/>
      <c r="E290" s="283"/>
      <c r="F290" s="1067" t="s">
        <v>1790</v>
      </c>
      <c r="G290" s="1067"/>
      <c r="H290" s="1067"/>
      <c r="I290" s="1067"/>
      <c r="J290" s="1067"/>
      <c r="K290" s="1067"/>
      <c r="L290" s="1067"/>
      <c r="M290" s="1067"/>
      <c r="N290" s="1067"/>
      <c r="O290" s="1067"/>
      <c r="P290" s="1067"/>
      <c r="Q290" s="1067"/>
      <c r="R290" s="1067"/>
      <c r="S290" s="1067"/>
      <c r="T290" s="1067"/>
      <c r="U290" s="1067"/>
      <c r="V290" s="1067"/>
      <c r="W290" s="1067"/>
      <c r="X290" s="1067"/>
      <c r="Y290" s="1"/>
      <c r="Z290" s="1"/>
      <c r="AA290" s="1"/>
      <c r="AB290" s="1"/>
      <c r="AC290" s="1"/>
      <c r="AD290" s="1"/>
      <c r="AE290" s="1"/>
      <c r="AF290" s="1"/>
      <c r="AG290" s="1"/>
      <c r="AH290" s="1"/>
      <c r="AI290" s="1"/>
      <c r="AJ290" s="1"/>
      <c r="AK290" s="1"/>
      <c r="AL290" s="1"/>
    </row>
    <row r="291" spans="1:38">
      <c r="A291" s="1"/>
      <c r="B291" s="358"/>
      <c r="C291" s="1"/>
      <c r="D291" s="283"/>
      <c r="E291" s="283" t="s">
        <v>1005</v>
      </c>
      <c r="F291" s="283" t="s">
        <v>1106</v>
      </c>
      <c r="G291" s="283"/>
      <c r="H291" s="1"/>
      <c r="I291" s="1"/>
      <c r="J291" s="1"/>
      <c r="K291" s="1"/>
      <c r="L291" s="283"/>
      <c r="M291" s="283"/>
      <c r="N291" s="283"/>
      <c r="O291" s="283"/>
      <c r="P291" s="283"/>
      <c r="Q291" s="283"/>
      <c r="R291" s="283"/>
      <c r="S291" s="283"/>
      <c r="T291" s="283"/>
      <c r="U291" s="283"/>
      <c r="V291" s="283"/>
      <c r="W291" s="283"/>
      <c r="X291" s="1"/>
      <c r="Y291" s="1"/>
      <c r="Z291" s="1"/>
      <c r="AA291" s="1"/>
      <c r="AB291" s="1"/>
      <c r="AC291" s="1"/>
      <c r="AD291" s="1"/>
      <c r="AE291" s="1"/>
      <c r="AF291" s="1"/>
      <c r="AG291" s="1"/>
      <c r="AH291" s="1"/>
      <c r="AI291" s="1"/>
      <c r="AJ291" s="1"/>
      <c r="AK291" s="1"/>
      <c r="AL291" s="1"/>
    </row>
    <row r="292" spans="1:38">
      <c r="A292" s="1"/>
      <c r="B292" s="358"/>
      <c r="C292" s="1"/>
      <c r="D292" s="283"/>
      <c r="E292" s="283" t="s">
        <v>1011</v>
      </c>
      <c r="F292" s="283" t="s">
        <v>55</v>
      </c>
      <c r="G292" s="283"/>
      <c r="H292" s="283"/>
      <c r="I292" s="1"/>
      <c r="J292" s="1"/>
      <c r="K292" s="283"/>
      <c r="L292" s="283"/>
      <c r="M292" s="283"/>
      <c r="N292" s="283"/>
      <c r="O292" s="283"/>
      <c r="P292" s="283"/>
      <c r="Q292" s="283"/>
      <c r="R292" s="283"/>
      <c r="S292" s="283"/>
      <c r="T292" s="283"/>
      <c r="U292" s="283"/>
      <c r="V292" s="283"/>
      <c r="W292" s="283"/>
      <c r="X292" s="1"/>
      <c r="Y292" s="1"/>
      <c r="Z292" s="1"/>
      <c r="AA292" s="1"/>
      <c r="AB292" s="1"/>
      <c r="AC292" s="1"/>
      <c r="AD292" s="1"/>
      <c r="AE292" s="1"/>
      <c r="AF292" s="1"/>
      <c r="AG292" s="1"/>
      <c r="AH292" s="1"/>
      <c r="AI292" s="1"/>
      <c r="AJ292" s="1"/>
      <c r="AK292" s="1"/>
      <c r="AL292" s="1"/>
    </row>
    <row r="293" spans="1:38">
      <c r="A293" s="1"/>
      <c r="B293" s="358"/>
      <c r="C293" s="1"/>
      <c r="D293" s="283"/>
      <c r="E293" s="283"/>
      <c r="F293" s="283" t="s">
        <v>903</v>
      </c>
      <c r="G293" s="283" t="s">
        <v>607</v>
      </c>
      <c r="H293" s="1"/>
      <c r="I293" s="1"/>
      <c r="J293" s="1"/>
      <c r="K293" s="283"/>
      <c r="L293" s="283"/>
      <c r="M293" s="283"/>
      <c r="N293" s="283"/>
      <c r="O293" s="283"/>
      <c r="P293" s="283"/>
      <c r="Q293" s="283"/>
      <c r="R293" s="283"/>
      <c r="S293" s="283"/>
      <c r="T293" s="283"/>
      <c r="U293" s="283"/>
      <c r="V293" s="283"/>
      <c r="W293" s="283"/>
      <c r="X293" s="1"/>
      <c r="Y293" s="1"/>
      <c r="Z293" s="1"/>
      <c r="AA293" s="1"/>
      <c r="AB293" s="1"/>
      <c r="AC293" s="1"/>
      <c r="AD293" s="1"/>
      <c r="AE293" s="1"/>
      <c r="AF293" s="1"/>
      <c r="AG293" s="1"/>
      <c r="AH293" s="1"/>
      <c r="AI293" s="1"/>
      <c r="AJ293" s="1"/>
      <c r="AK293" s="1"/>
      <c r="AL293" s="1"/>
    </row>
    <row r="294" spans="1:38">
      <c r="A294" s="1"/>
      <c r="B294" s="358"/>
      <c r="C294" s="1"/>
      <c r="D294" s="283"/>
      <c r="E294" s="283"/>
      <c r="F294" s="283" t="s">
        <v>79</v>
      </c>
      <c r="G294" s="283" t="s">
        <v>1329</v>
      </c>
      <c r="H294" s="283"/>
      <c r="I294" s="1"/>
      <c r="J294" s="1"/>
      <c r="K294" s="283"/>
      <c r="L294" s="283"/>
      <c r="M294" s="283"/>
      <c r="N294" s="283"/>
      <c r="O294" s="283"/>
      <c r="P294" s="283"/>
      <c r="Q294" s="283"/>
      <c r="R294" s="283"/>
      <c r="S294" s="283"/>
      <c r="T294" s="283"/>
      <c r="U294" s="283"/>
      <c r="V294" s="283"/>
      <c r="W294" s="283"/>
      <c r="X294" s="1"/>
      <c r="Y294" s="1"/>
      <c r="Z294" s="1"/>
      <c r="AA294" s="1"/>
      <c r="AB294" s="1"/>
      <c r="AC294" s="1"/>
      <c r="AD294" s="1"/>
      <c r="AE294" s="1"/>
      <c r="AF294" s="1"/>
      <c r="AG294" s="1"/>
      <c r="AH294" s="1"/>
      <c r="AI294" s="1"/>
      <c r="AJ294" s="1"/>
      <c r="AK294" s="1"/>
      <c r="AL294" s="1"/>
    </row>
    <row r="295" spans="1:38">
      <c r="A295" s="1"/>
      <c r="B295" s="358"/>
      <c r="C295" s="1"/>
      <c r="D295" s="283"/>
      <c r="E295" s="283"/>
      <c r="F295" s="283" t="s">
        <v>594</v>
      </c>
      <c r="G295" s="283" t="s">
        <v>801</v>
      </c>
      <c r="H295" s="1"/>
      <c r="I295" s="1"/>
      <c r="J295" s="1"/>
      <c r="K295" s="283"/>
      <c r="L295" s="283"/>
      <c r="M295" s="283"/>
      <c r="N295" s="283"/>
      <c r="O295" s="283"/>
      <c r="P295" s="283"/>
      <c r="Q295" s="283"/>
      <c r="R295" s="283"/>
      <c r="S295" s="283"/>
      <c r="T295" s="283"/>
      <c r="U295" s="283"/>
      <c r="V295" s="283"/>
      <c r="W295" s="283"/>
      <c r="X295" s="1"/>
      <c r="Y295" s="1"/>
      <c r="Z295" s="1"/>
      <c r="AA295" s="1"/>
      <c r="AB295" s="1"/>
      <c r="AC295" s="1"/>
      <c r="AD295" s="1"/>
      <c r="AE295" s="1"/>
      <c r="AF295" s="1"/>
      <c r="AG295" s="1"/>
      <c r="AH295" s="1"/>
      <c r="AI295" s="1"/>
      <c r="AJ295" s="1"/>
      <c r="AK295" s="1"/>
      <c r="AL295" s="1"/>
    </row>
    <row r="296" spans="1:38">
      <c r="A296" s="1"/>
      <c r="B296" s="358"/>
      <c r="C296" s="1"/>
      <c r="D296" s="283"/>
      <c r="E296" s="283"/>
      <c r="F296" s="283" t="s">
        <v>508</v>
      </c>
      <c r="G296" s="283" t="s">
        <v>608</v>
      </c>
      <c r="H296" s="283"/>
      <c r="I296" s="1"/>
      <c r="J296" s="1"/>
      <c r="K296" s="283"/>
      <c r="L296" s="283"/>
      <c r="M296" s="283"/>
      <c r="N296" s="283"/>
      <c r="O296" s="283"/>
      <c r="P296" s="283"/>
      <c r="Q296" s="283"/>
      <c r="R296" s="283"/>
      <c r="S296" s="283"/>
      <c r="T296" s="283"/>
      <c r="U296" s="283"/>
      <c r="V296" s="283"/>
      <c r="W296" s="283"/>
      <c r="X296" s="1"/>
      <c r="Y296" s="1"/>
      <c r="Z296" s="1"/>
      <c r="AA296" s="1"/>
      <c r="AB296" s="1"/>
      <c r="AC296" s="1"/>
      <c r="AD296" s="1"/>
      <c r="AE296" s="1"/>
      <c r="AF296" s="1"/>
      <c r="AG296" s="1"/>
      <c r="AH296" s="1"/>
      <c r="AI296" s="1"/>
      <c r="AJ296" s="1"/>
      <c r="AK296" s="1"/>
      <c r="AL296" s="1"/>
    </row>
    <row r="297" spans="1:38">
      <c r="A297" s="1"/>
      <c r="B297" s="358"/>
      <c r="C297" s="1"/>
      <c r="D297" s="283"/>
      <c r="E297" s="283"/>
      <c r="F297" s="283" t="s">
        <v>53</v>
      </c>
      <c r="G297" s="283" t="s">
        <v>60</v>
      </c>
      <c r="H297" s="1"/>
      <c r="I297" s="1"/>
      <c r="J297" s="1"/>
      <c r="K297" s="283"/>
      <c r="L297" s="283"/>
      <c r="M297" s="283"/>
      <c r="N297" s="283"/>
      <c r="O297" s="283"/>
      <c r="P297" s="283"/>
      <c r="Q297" s="283"/>
      <c r="R297" s="283"/>
      <c r="S297" s="283"/>
      <c r="T297" s="283"/>
      <c r="U297" s="283"/>
      <c r="V297" s="283"/>
      <c r="W297" s="283"/>
      <c r="X297" s="1"/>
      <c r="Y297" s="1"/>
      <c r="Z297" s="1"/>
      <c r="AA297" s="1"/>
      <c r="AB297" s="1"/>
      <c r="AC297" s="1"/>
      <c r="AD297" s="1"/>
      <c r="AE297" s="1"/>
      <c r="AF297" s="1"/>
      <c r="AG297" s="1"/>
      <c r="AH297" s="1"/>
      <c r="AI297" s="1"/>
      <c r="AJ297" s="1"/>
      <c r="AK297" s="1"/>
      <c r="AL297" s="1"/>
    </row>
    <row r="298" spans="1:38">
      <c r="A298" s="1"/>
      <c r="B298" s="358"/>
      <c r="C298" s="1"/>
      <c r="D298" s="283"/>
      <c r="E298" s="283"/>
      <c r="F298" s="283" t="s">
        <v>54</v>
      </c>
      <c r="G298" s="283" t="s">
        <v>548</v>
      </c>
      <c r="H298" s="283"/>
      <c r="I298" s="1"/>
      <c r="J298" s="1"/>
      <c r="K298" s="283"/>
      <c r="L298" s="283"/>
      <c r="M298" s="283"/>
      <c r="N298" s="283"/>
      <c r="O298" s="283"/>
      <c r="P298" s="283"/>
      <c r="Q298" s="283"/>
      <c r="R298" s="283"/>
      <c r="S298" s="283"/>
      <c r="T298" s="283"/>
      <c r="U298" s="283"/>
      <c r="V298" s="283"/>
      <c r="W298" s="283"/>
      <c r="X298" s="1"/>
      <c r="Y298" s="1"/>
      <c r="Z298" s="1"/>
      <c r="AA298" s="1"/>
      <c r="AB298" s="1"/>
      <c r="AC298" s="1"/>
      <c r="AD298" s="1"/>
      <c r="AE298" s="1"/>
      <c r="AF298" s="1"/>
      <c r="AG298" s="1"/>
      <c r="AH298" s="1"/>
      <c r="AI298" s="1"/>
      <c r="AJ298" s="1"/>
      <c r="AK298" s="1"/>
      <c r="AL298" s="1"/>
    </row>
    <row r="299" spans="1:38">
      <c r="A299" s="1"/>
      <c r="B299" s="358"/>
      <c r="C299" s="1"/>
      <c r="D299" s="283"/>
      <c r="E299" s="283" t="s">
        <v>480</v>
      </c>
      <c r="F299" s="283" t="s">
        <v>524</v>
      </c>
      <c r="G299" s="283"/>
      <c r="H299" s="1"/>
      <c r="I299" s="1"/>
      <c r="J299" s="1"/>
      <c r="K299" s="283"/>
      <c r="L299" s="283"/>
      <c r="M299" s="283"/>
      <c r="N299" s="283"/>
      <c r="O299" s="283"/>
      <c r="P299" s="283"/>
      <c r="Q299" s="283"/>
      <c r="R299" s="283"/>
      <c r="S299" s="283"/>
      <c r="T299" s="283"/>
      <c r="U299" s="283"/>
      <c r="V299" s="283"/>
      <c r="W299" s="283"/>
      <c r="X299" s="1"/>
      <c r="Y299" s="1"/>
      <c r="Z299" s="1"/>
      <c r="AA299" s="1"/>
      <c r="AB299" s="1"/>
      <c r="AC299" s="1"/>
      <c r="AD299" s="1"/>
      <c r="AE299" s="1"/>
      <c r="AF299" s="1"/>
      <c r="AG299" s="1"/>
      <c r="AH299" s="1"/>
      <c r="AI299" s="1"/>
      <c r="AJ299" s="1"/>
      <c r="AK299" s="1"/>
      <c r="AL299" s="1"/>
    </row>
    <row r="300" spans="1:38">
      <c r="A300" s="1"/>
      <c r="B300" s="358"/>
      <c r="C300" s="1"/>
      <c r="D300" s="283"/>
      <c r="E300" s="283" t="s">
        <v>188</v>
      </c>
      <c r="F300" s="283" t="s">
        <v>1330</v>
      </c>
      <c r="G300" s="283"/>
      <c r="H300" s="1"/>
      <c r="I300" s="1"/>
      <c r="J300" s="1"/>
      <c r="K300" s="283"/>
      <c r="L300" s="283"/>
      <c r="M300" s="283"/>
      <c r="N300" s="283"/>
      <c r="O300" s="283"/>
      <c r="P300" s="283"/>
      <c r="Q300" s="283"/>
      <c r="R300" s="283"/>
      <c r="S300" s="283"/>
      <c r="T300" s="283"/>
      <c r="U300" s="283"/>
      <c r="V300" s="283"/>
      <c r="W300" s="283"/>
      <c r="X300" s="1"/>
      <c r="Y300" s="1"/>
      <c r="Z300" s="1"/>
      <c r="AA300" s="1"/>
      <c r="AB300" s="1"/>
      <c r="AC300" s="1"/>
      <c r="AD300" s="1"/>
      <c r="AE300" s="1"/>
      <c r="AF300" s="1"/>
      <c r="AG300" s="1"/>
      <c r="AH300" s="1"/>
      <c r="AI300" s="1"/>
      <c r="AJ300" s="1"/>
      <c r="AK300" s="1"/>
      <c r="AL300" s="1"/>
    </row>
    <row r="301" spans="1:38">
      <c r="A301" s="1"/>
      <c r="B301" s="358"/>
      <c r="C301" s="1"/>
      <c r="D301" s="283"/>
      <c r="E301" s="283"/>
      <c r="F301" s="1069" t="s">
        <v>1110</v>
      </c>
      <c r="G301" s="1067"/>
      <c r="H301" s="1067"/>
      <c r="I301" s="1069"/>
      <c r="J301" s="1069"/>
      <c r="K301" s="1069"/>
      <c r="L301" s="1069"/>
      <c r="M301" s="288"/>
      <c r="N301" s="288"/>
      <c r="O301" s="288"/>
      <c r="P301" s="288"/>
      <c r="Q301" s="288"/>
      <c r="R301" s="288"/>
      <c r="S301" s="288"/>
      <c r="T301" s="288"/>
      <c r="U301" s="288"/>
      <c r="V301" s="288"/>
      <c r="W301" s="288"/>
      <c r="X301" s="272"/>
      <c r="Y301" s="272"/>
      <c r="Z301" s="272"/>
      <c r="AA301" s="272"/>
      <c r="AB301" s="272"/>
      <c r="AC301" s="272"/>
      <c r="AD301" s="272"/>
      <c r="AE301" s="272"/>
      <c r="AF301" s="272"/>
      <c r="AG301" s="272"/>
      <c r="AH301" s="272"/>
      <c r="AI301" s="272"/>
      <c r="AJ301" s="272"/>
      <c r="AK301" s="272"/>
      <c r="AL301" s="272"/>
    </row>
    <row r="302" spans="1:38">
      <c r="A302" s="1"/>
      <c r="B302" s="358"/>
      <c r="C302" s="1"/>
      <c r="D302" s="283"/>
      <c r="E302" s="283"/>
      <c r="F302" s="1069" t="s">
        <v>1355</v>
      </c>
      <c r="G302" s="1067"/>
      <c r="H302" s="1067"/>
      <c r="I302" s="1069"/>
      <c r="J302" s="1069"/>
      <c r="K302" s="1069"/>
      <c r="L302" s="1069"/>
      <c r="M302" s="288"/>
      <c r="N302" s="288"/>
      <c r="O302" s="288"/>
      <c r="P302" s="288"/>
      <c r="Q302" s="288"/>
      <c r="R302" s="288"/>
      <c r="S302" s="288"/>
      <c r="T302" s="288"/>
      <c r="U302" s="288"/>
      <c r="V302" s="288"/>
      <c r="W302" s="288"/>
      <c r="X302" s="272"/>
      <c r="Y302" s="272"/>
      <c r="Z302" s="272"/>
      <c r="AA302" s="272"/>
      <c r="AB302" s="272"/>
      <c r="AC302" s="272"/>
      <c r="AD302" s="272"/>
      <c r="AE302" s="272"/>
      <c r="AF302" s="272"/>
      <c r="AG302" s="272"/>
      <c r="AH302" s="272"/>
      <c r="AI302" s="272"/>
      <c r="AJ302" s="272"/>
      <c r="AK302" s="272"/>
      <c r="AL302" s="272"/>
    </row>
    <row r="303" spans="1:38">
      <c r="A303" s="1"/>
      <c r="B303" s="358"/>
      <c r="C303" s="1"/>
      <c r="D303" s="283"/>
      <c r="E303" s="283"/>
      <c r="F303" s="1069" t="s">
        <v>1107</v>
      </c>
      <c r="G303" s="1067"/>
      <c r="H303" s="1067"/>
      <c r="I303" s="1069"/>
      <c r="J303" s="1069"/>
      <c r="K303" s="1069"/>
      <c r="L303" s="1069"/>
      <c r="M303" s="288"/>
      <c r="N303" s="288"/>
      <c r="O303" s="288"/>
      <c r="P303" s="288"/>
      <c r="Q303" s="288"/>
      <c r="R303" s="288"/>
      <c r="S303" s="288"/>
      <c r="T303" s="288"/>
      <c r="U303" s="288"/>
      <c r="V303" s="288"/>
      <c r="W303" s="288"/>
      <c r="X303" s="272"/>
      <c r="Y303" s="272"/>
      <c r="Z303" s="272"/>
      <c r="AA303" s="272"/>
      <c r="AB303" s="272"/>
      <c r="AC303" s="272"/>
      <c r="AD303" s="272"/>
      <c r="AE303" s="272"/>
      <c r="AF303" s="272"/>
      <c r="AG303" s="272"/>
      <c r="AH303" s="272"/>
      <c r="AI303" s="272"/>
      <c r="AJ303" s="272"/>
      <c r="AK303" s="272"/>
      <c r="AL303" s="272"/>
    </row>
    <row r="304" spans="1:38">
      <c r="A304" s="1"/>
      <c r="B304" s="358"/>
      <c r="C304" s="1"/>
      <c r="D304" s="283"/>
      <c r="E304" s="283"/>
      <c r="F304" s="1067"/>
      <c r="G304" s="1067"/>
      <c r="H304" s="1067"/>
      <c r="I304" s="1067"/>
      <c r="J304" s="1067"/>
      <c r="K304" s="1067"/>
      <c r="L304" s="1067"/>
      <c r="M304" s="283"/>
      <c r="N304" s="283"/>
      <c r="O304" s="283"/>
      <c r="P304" s="283"/>
      <c r="Q304" s="283"/>
      <c r="R304" s="283"/>
      <c r="S304" s="283"/>
      <c r="T304" s="283"/>
      <c r="U304" s="283"/>
      <c r="V304" s="283"/>
      <c r="W304" s="283"/>
      <c r="X304" s="1"/>
      <c r="Y304" s="1"/>
      <c r="Z304" s="1"/>
      <c r="AA304" s="1"/>
      <c r="AB304" s="1"/>
      <c r="AC304" s="1"/>
      <c r="AD304" s="1"/>
      <c r="AE304" s="1"/>
      <c r="AF304" s="1"/>
      <c r="AG304" s="1"/>
      <c r="AH304" s="1"/>
      <c r="AI304" s="1"/>
      <c r="AJ304" s="1"/>
      <c r="AK304" s="1"/>
      <c r="AL304" s="1"/>
    </row>
    <row r="305" spans="1:38">
      <c r="A305" s="1"/>
      <c r="B305" s="358"/>
      <c r="C305" s="1"/>
      <c r="D305" s="358" t="s">
        <v>794</v>
      </c>
      <c r="E305" s="358" t="s">
        <v>290</v>
      </c>
      <c r="F305" s="1"/>
      <c r="G305" s="283"/>
      <c r="H305" s="283"/>
      <c r="I305" s="1067"/>
      <c r="J305" s="1067"/>
      <c r="K305" s="1067"/>
      <c r="L305" s="1067"/>
      <c r="M305" s="283"/>
      <c r="N305" s="283"/>
      <c r="O305" s="283"/>
      <c r="P305" s="283"/>
      <c r="Q305" s="283"/>
      <c r="R305" s="283"/>
      <c r="S305" s="283"/>
      <c r="T305" s="283"/>
      <c r="U305" s="283"/>
      <c r="V305" s="283"/>
      <c r="W305" s="283"/>
      <c r="X305" s="1"/>
      <c r="Y305" s="1"/>
      <c r="Z305" s="1"/>
      <c r="AA305" s="1"/>
      <c r="AB305" s="1"/>
      <c r="AC305" s="1"/>
      <c r="AD305" s="1"/>
      <c r="AE305" s="1"/>
      <c r="AF305" s="1"/>
      <c r="AG305" s="1"/>
      <c r="AH305" s="1"/>
      <c r="AI305" s="1"/>
      <c r="AJ305" s="1"/>
      <c r="AK305" s="1"/>
      <c r="AL305" s="1"/>
    </row>
    <row r="306" spans="1:38">
      <c r="A306" s="1"/>
      <c r="B306" s="358"/>
      <c r="C306" s="1"/>
      <c r="D306" s="358"/>
      <c r="E306" s="283" t="s">
        <v>1331</v>
      </c>
      <c r="F306" s="1"/>
      <c r="G306" s="1"/>
      <c r="H306" s="1"/>
      <c r="I306" s="1067"/>
      <c r="J306" s="1067"/>
      <c r="K306" s="1067"/>
      <c r="L306" s="1067"/>
      <c r="M306" s="283"/>
      <c r="N306" s="283"/>
      <c r="O306" s="283"/>
      <c r="P306" s="283"/>
      <c r="Q306" s="283"/>
      <c r="R306" s="283"/>
      <c r="S306" s="283"/>
      <c r="T306" s="283"/>
      <c r="U306" s="283"/>
      <c r="V306" s="283"/>
      <c r="W306" s="283"/>
      <c r="X306" s="1"/>
      <c r="Y306" s="1"/>
      <c r="Z306" s="1"/>
      <c r="AA306" s="1"/>
      <c r="AB306" s="1"/>
      <c r="AC306" s="1"/>
      <c r="AD306" s="1"/>
      <c r="AE306" s="1"/>
      <c r="AF306" s="1"/>
      <c r="AG306" s="1"/>
      <c r="AH306" s="1"/>
      <c r="AI306" s="1"/>
      <c r="AJ306" s="1"/>
      <c r="AK306" s="1"/>
      <c r="AL306" s="1"/>
    </row>
    <row r="307" spans="1:38">
      <c r="A307" s="1"/>
      <c r="B307" s="358"/>
      <c r="C307" s="1"/>
      <c r="D307" s="358"/>
      <c r="E307" s="283" t="s">
        <v>1328</v>
      </c>
      <c r="F307" s="283"/>
      <c r="G307" s="1"/>
      <c r="H307" s="1"/>
      <c r="I307" s="1067"/>
      <c r="J307" s="1067"/>
      <c r="K307" s="1067"/>
      <c r="L307" s="1067"/>
      <c r="M307" s="283"/>
      <c r="N307" s="283"/>
      <c r="O307" s="283"/>
      <c r="P307" s="283"/>
      <c r="Q307" s="283"/>
      <c r="R307" s="283"/>
      <c r="S307" s="283"/>
      <c r="T307" s="283"/>
      <c r="U307" s="283"/>
      <c r="V307" s="283"/>
      <c r="W307" s="283"/>
      <c r="X307" s="1"/>
      <c r="Y307" s="1"/>
      <c r="Z307" s="1"/>
      <c r="AA307" s="1"/>
      <c r="AB307" s="1"/>
      <c r="AC307" s="1"/>
      <c r="AD307" s="1"/>
      <c r="AE307" s="1"/>
      <c r="AF307" s="1"/>
      <c r="AG307" s="1"/>
      <c r="AH307" s="1"/>
      <c r="AI307" s="1"/>
      <c r="AJ307" s="1"/>
      <c r="AK307" s="1"/>
      <c r="AL307" s="1"/>
    </row>
    <row r="308" spans="1:38">
      <c r="A308" s="1"/>
      <c r="B308" s="358"/>
      <c r="C308" s="1"/>
      <c r="D308" s="1"/>
      <c r="E308" s="1"/>
      <c r="F308" s="358"/>
      <c r="G308" s="283"/>
      <c r="H308" s="283"/>
      <c r="I308" s="283"/>
      <c r="J308" s="283"/>
      <c r="K308" s="283"/>
      <c r="L308" s="283"/>
      <c r="M308" s="283"/>
      <c r="N308" s="283"/>
      <c r="O308" s="283"/>
      <c r="P308" s="1"/>
      <c r="Q308" s="283"/>
      <c r="R308" s="283"/>
      <c r="S308" s="283"/>
      <c r="T308" s="283"/>
      <c r="U308" s="283"/>
      <c r="V308" s="283"/>
      <c r="W308" s="283"/>
      <c r="X308" s="1"/>
      <c r="Y308" s="1"/>
      <c r="Z308" s="1"/>
      <c r="AA308" s="1"/>
      <c r="AB308" s="1"/>
      <c r="AC308" s="1"/>
      <c r="AD308" s="1"/>
      <c r="AE308" s="1"/>
      <c r="AF308" s="1"/>
      <c r="AG308" s="1"/>
      <c r="AH308" s="1"/>
      <c r="AI308" s="1"/>
      <c r="AJ308" s="1"/>
      <c r="AK308" s="1"/>
      <c r="AL308" s="1"/>
    </row>
    <row r="309" spans="1:38">
      <c r="A309" s="1"/>
      <c r="B309" s="358"/>
      <c r="C309" s="358" t="s">
        <v>369</v>
      </c>
      <c r="D309" s="358"/>
      <c r="E309" s="1"/>
      <c r="F309" s="358"/>
      <c r="G309" s="358" t="s">
        <v>170</v>
      </c>
      <c r="H309" s="1"/>
      <c r="I309" s="283"/>
      <c r="J309" s="283"/>
      <c r="K309" s="283"/>
      <c r="L309" s="283"/>
      <c r="M309" s="283"/>
      <c r="N309" s="283"/>
      <c r="O309" s="283"/>
      <c r="P309" s="283"/>
      <c r="Q309" s="1"/>
      <c r="R309" s="1"/>
      <c r="S309" s="1"/>
      <c r="T309" s="1"/>
      <c r="U309" s="1"/>
      <c r="V309" s="1"/>
      <c r="W309" s="1"/>
      <c r="X309" s="1"/>
      <c r="Y309" s="1"/>
      <c r="Z309" s="1"/>
      <c r="AA309" s="1"/>
      <c r="AB309" s="1"/>
      <c r="AC309" s="1"/>
      <c r="AD309" s="1"/>
      <c r="AE309" s="1"/>
      <c r="AF309" s="1"/>
      <c r="AG309" s="1"/>
      <c r="AH309" s="1"/>
      <c r="AI309" s="1"/>
      <c r="AJ309" s="1"/>
      <c r="AK309" s="1"/>
      <c r="AL309" s="1"/>
    </row>
    <row r="310" spans="1:38">
      <c r="A310" s="1"/>
      <c r="B310" s="358"/>
      <c r="C310" s="1"/>
      <c r="D310" s="358" t="s">
        <v>901</v>
      </c>
      <c r="E310" s="358" t="s">
        <v>609</v>
      </c>
      <c r="F310" s="1"/>
      <c r="G310" s="358"/>
      <c r="H310" s="358"/>
      <c r="I310" s="358"/>
      <c r="J310" s="358"/>
      <c r="K310" s="358"/>
      <c r="L310" s="358"/>
      <c r="M310" s="358"/>
      <c r="N310" s="358"/>
      <c r="O310" s="358"/>
      <c r="P310" s="358"/>
      <c r="Q310" s="358"/>
      <c r="R310" s="358"/>
      <c r="S310" s="1"/>
      <c r="T310" s="1"/>
      <c r="U310" s="1"/>
      <c r="V310" s="1"/>
      <c r="W310" s="1"/>
      <c r="X310" s="1"/>
      <c r="Y310" s="1"/>
      <c r="Z310" s="1"/>
      <c r="AA310" s="1"/>
      <c r="AB310" s="1"/>
      <c r="AC310" s="1"/>
      <c r="AD310" s="1"/>
      <c r="AE310" s="1"/>
      <c r="AF310" s="1"/>
      <c r="AG310" s="1"/>
      <c r="AH310" s="1"/>
      <c r="AI310" s="1"/>
      <c r="AJ310" s="1"/>
      <c r="AK310" s="1"/>
      <c r="AL310" s="1"/>
    </row>
    <row r="311" spans="1:38">
      <c r="A311" s="1"/>
      <c r="B311" s="358"/>
      <c r="C311" s="1"/>
      <c r="D311" s="358"/>
      <c r="E311" s="1" t="s">
        <v>1004</v>
      </c>
      <c r="F311" s="1" t="s">
        <v>610</v>
      </c>
      <c r="G311" s="283"/>
      <c r="H311" s="1"/>
      <c r="I311" s="283"/>
      <c r="J311" s="1"/>
      <c r="K311" s="283"/>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row>
    <row r="312" spans="1:38">
      <c r="A312" s="1"/>
      <c r="B312" s="358"/>
      <c r="C312" s="1"/>
      <c r="D312" s="358"/>
      <c r="E312" s="1"/>
      <c r="F312" s="283" t="s">
        <v>1108</v>
      </c>
      <c r="G312" s="283"/>
      <c r="H312" s="1"/>
      <c r="I312" s="283"/>
      <c r="J312" s="1"/>
      <c r="K312" s="283"/>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row>
    <row r="313" spans="1:38">
      <c r="A313" s="1"/>
      <c r="B313" s="358"/>
      <c r="C313" s="1"/>
      <c r="D313" s="358"/>
      <c r="E313" s="1"/>
      <c r="F313" s="283" t="s">
        <v>1333</v>
      </c>
      <c r="G313" s="283"/>
      <c r="H313" s="1"/>
      <c r="I313" s="283"/>
      <c r="J313" s="1"/>
      <c r="K313" s="283"/>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row>
    <row r="314" spans="1:38">
      <c r="A314" s="1"/>
      <c r="B314" s="358"/>
      <c r="C314" s="1"/>
      <c r="D314" s="358"/>
      <c r="E314" s="1"/>
      <c r="F314" s="283" t="s">
        <v>1111</v>
      </c>
      <c r="G314" s="283"/>
      <c r="H314" s="1"/>
      <c r="I314" s="283"/>
      <c r="J314" s="1"/>
      <c r="K314" s="283"/>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row>
    <row r="315" spans="1:38">
      <c r="A315" s="1"/>
      <c r="B315" s="358"/>
      <c r="C315" s="1"/>
      <c r="D315" s="358"/>
      <c r="E315" s="1"/>
      <c r="F315" s="1"/>
      <c r="G315" s="283"/>
      <c r="H315" s="1"/>
      <c r="I315" s="283"/>
      <c r="J315" s="1"/>
      <c r="K315" s="283"/>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row>
    <row r="316" spans="1:38">
      <c r="A316" s="1"/>
      <c r="B316" s="358"/>
      <c r="C316" s="1"/>
      <c r="D316" s="358" t="s">
        <v>514</v>
      </c>
      <c r="E316" s="358" t="s">
        <v>512</v>
      </c>
      <c r="F316" s="1"/>
      <c r="G316" s="283"/>
      <c r="H316" s="283"/>
      <c r="I316" s="283"/>
      <c r="J316" s="283"/>
      <c r="K316" s="283"/>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row>
    <row r="317" spans="1:38">
      <c r="A317" s="1"/>
      <c r="B317" s="358"/>
      <c r="C317" s="1"/>
      <c r="D317" s="358"/>
      <c r="E317" s="1" t="s">
        <v>344</v>
      </c>
      <c r="F317" s="1"/>
      <c r="G317" s="283"/>
      <c r="H317" s="1"/>
      <c r="I317" s="283"/>
      <c r="J317" s="283"/>
      <c r="K317" s="283"/>
      <c r="L317" s="283"/>
      <c r="M317" s="283"/>
      <c r="N317" s="283"/>
      <c r="O317" s="283"/>
      <c r="P317" s="283"/>
      <c r="Q317" s="283"/>
      <c r="R317" s="283"/>
      <c r="S317" s="283"/>
      <c r="T317" s="1"/>
      <c r="U317" s="1"/>
      <c r="V317" s="1"/>
      <c r="W317" s="1"/>
      <c r="X317" s="1"/>
      <c r="Y317" s="1"/>
      <c r="Z317" s="1"/>
      <c r="AA317" s="1"/>
      <c r="AB317" s="1"/>
      <c r="AC317" s="1"/>
      <c r="AD317" s="1"/>
      <c r="AE317" s="1"/>
      <c r="AF317" s="1"/>
      <c r="AG317" s="1"/>
      <c r="AH317" s="1"/>
      <c r="AI317" s="1"/>
      <c r="AJ317" s="1"/>
      <c r="AK317" s="1"/>
      <c r="AL317" s="1"/>
    </row>
    <row r="318" spans="1:38">
      <c r="A318" s="1"/>
      <c r="B318" s="358"/>
      <c r="C318" s="1"/>
      <c r="D318" s="358"/>
      <c r="E318" s="1"/>
      <c r="F318" s="1"/>
      <c r="G318" s="283"/>
      <c r="H318" s="1"/>
      <c r="I318" s="283"/>
      <c r="J318" s="283"/>
      <c r="K318" s="283"/>
      <c r="L318" s="283"/>
      <c r="M318" s="283"/>
      <c r="N318" s="283"/>
      <c r="O318" s="283"/>
      <c r="P318" s="283"/>
      <c r="Q318" s="283"/>
      <c r="R318" s="283"/>
      <c r="S318" s="283"/>
      <c r="T318" s="1"/>
      <c r="U318" s="1"/>
      <c r="V318" s="1"/>
      <c r="W318" s="1"/>
      <c r="X318" s="1"/>
      <c r="Y318" s="1"/>
      <c r="Z318" s="1"/>
      <c r="AA318" s="1"/>
      <c r="AB318" s="1"/>
      <c r="AC318" s="1"/>
      <c r="AD318" s="1"/>
      <c r="AE318" s="1"/>
      <c r="AF318" s="1"/>
      <c r="AG318" s="1"/>
      <c r="AH318" s="1"/>
      <c r="AI318" s="1"/>
      <c r="AJ318" s="1"/>
      <c r="AK318" s="1"/>
      <c r="AL318" s="1"/>
    </row>
    <row r="319" spans="1:38">
      <c r="A319" s="1082"/>
      <c r="B319" s="1083"/>
      <c r="C319" s="1084"/>
      <c r="D319" s="1083" t="s">
        <v>932</v>
      </c>
      <c r="E319" s="1083" t="s">
        <v>882</v>
      </c>
      <c r="F319" s="1084"/>
      <c r="G319" s="1084"/>
      <c r="H319" s="1084"/>
      <c r="I319" s="1084"/>
      <c r="J319" s="1084"/>
      <c r="K319" s="1084"/>
      <c r="L319" s="1084"/>
      <c r="M319" s="1084"/>
      <c r="N319" s="1084"/>
      <c r="O319" s="1084"/>
      <c r="P319" s="1084"/>
      <c r="Q319" s="1084"/>
      <c r="R319" s="1084"/>
      <c r="S319" s="1084"/>
      <c r="T319" s="1084"/>
      <c r="U319" s="1084"/>
      <c r="V319" s="1084"/>
      <c r="W319" s="1084"/>
      <c r="X319" s="1084"/>
      <c r="Y319" s="1084"/>
      <c r="Z319" s="1084"/>
      <c r="AA319" s="1084"/>
      <c r="AB319" s="1084"/>
      <c r="AC319" s="1084"/>
      <c r="AD319" s="1084"/>
      <c r="AE319" s="1084"/>
      <c r="AF319" s="1084"/>
      <c r="AG319" s="1084"/>
      <c r="AH319" s="1084"/>
      <c r="AI319" s="1084"/>
      <c r="AJ319" s="1084"/>
      <c r="AK319" s="1084"/>
      <c r="AL319" s="1084"/>
    </row>
    <row r="320" spans="1:38">
      <c r="A320" s="1"/>
      <c r="B320" s="358"/>
      <c r="C320" s="1"/>
      <c r="D320" s="1"/>
      <c r="E320" s="1" t="s">
        <v>345</v>
      </c>
      <c r="F320" s="1"/>
      <c r="G320" s="1"/>
      <c r="H320" s="1"/>
      <c r="I320" s="283"/>
      <c r="J320" s="283"/>
      <c r="K320" s="283"/>
      <c r="L320" s="283"/>
      <c r="M320" s="283"/>
      <c r="N320" s="283"/>
      <c r="O320" s="283"/>
      <c r="P320" s="283"/>
      <c r="Q320" s="283"/>
      <c r="R320" s="283"/>
      <c r="S320" s="283"/>
      <c r="T320" s="1"/>
      <c r="U320" s="1"/>
      <c r="V320" s="1"/>
      <c r="W320" s="1"/>
      <c r="X320" s="1"/>
      <c r="Y320" s="1"/>
      <c r="Z320" s="1"/>
      <c r="AA320" s="1"/>
      <c r="AB320" s="1"/>
      <c r="AC320" s="1"/>
      <c r="AD320" s="1"/>
      <c r="AE320" s="1"/>
      <c r="AF320" s="1"/>
      <c r="AG320" s="1"/>
      <c r="AH320" s="1"/>
      <c r="AI320" s="1"/>
      <c r="AJ320" s="1"/>
      <c r="AK320" s="1"/>
      <c r="AL320" s="1"/>
    </row>
    <row r="321" spans="1:38">
      <c r="A321" s="1"/>
      <c r="B321" s="358"/>
      <c r="C321" s="1"/>
      <c r="D321" s="1"/>
      <c r="E321" s="1" t="s">
        <v>346</v>
      </c>
      <c r="F321" s="1"/>
      <c r="G321" s="1"/>
      <c r="H321" s="1"/>
      <c r="I321" s="283"/>
      <c r="J321" s="283"/>
      <c r="K321" s="283"/>
      <c r="L321" s="283"/>
      <c r="M321" s="283"/>
      <c r="N321" s="283"/>
      <c r="O321" s="283"/>
      <c r="P321" s="283"/>
      <c r="Q321" s="283"/>
      <c r="R321" s="283"/>
      <c r="S321" s="283"/>
      <c r="T321" s="1"/>
      <c r="U321" s="1"/>
      <c r="V321" s="1"/>
      <c r="W321" s="1"/>
      <c r="X321" s="1"/>
      <c r="Y321" s="1"/>
      <c r="Z321" s="1"/>
      <c r="AA321" s="1"/>
      <c r="AB321" s="1"/>
      <c r="AC321" s="1"/>
      <c r="AD321" s="1"/>
      <c r="AE321" s="1"/>
      <c r="AF321" s="1"/>
      <c r="AG321" s="1"/>
      <c r="AH321" s="1"/>
      <c r="AI321" s="1"/>
      <c r="AJ321" s="1"/>
      <c r="AK321" s="1"/>
      <c r="AL321" s="1"/>
    </row>
    <row r="322" spans="1:38">
      <c r="A322" s="1"/>
      <c r="B322" s="358"/>
      <c r="C322" s="1"/>
      <c r="D322" s="1"/>
      <c r="E322" s="1" t="s">
        <v>347</v>
      </c>
      <c r="F322" s="1"/>
      <c r="G322" s="1"/>
      <c r="H322" s="1"/>
      <c r="I322" s="283"/>
      <c r="J322" s="283"/>
      <c r="K322" s="283"/>
      <c r="L322" s="283"/>
      <c r="M322" s="283"/>
      <c r="N322" s="283"/>
      <c r="O322" s="283"/>
      <c r="P322" s="283"/>
      <c r="Q322" s="283"/>
      <c r="R322" s="283"/>
      <c r="S322" s="283"/>
      <c r="T322" s="1"/>
      <c r="U322" s="1"/>
      <c r="V322" s="1"/>
      <c r="W322" s="1"/>
      <c r="X322" s="1"/>
      <c r="Y322" s="1"/>
      <c r="Z322" s="1"/>
      <c r="AA322" s="1"/>
      <c r="AB322" s="1"/>
      <c r="AC322" s="1"/>
      <c r="AD322" s="1"/>
      <c r="AE322" s="1"/>
      <c r="AF322" s="1"/>
      <c r="AG322" s="1"/>
      <c r="AH322" s="1"/>
      <c r="AI322" s="1"/>
      <c r="AJ322" s="1"/>
      <c r="AK322" s="1"/>
      <c r="AL322" s="1"/>
    </row>
    <row r="323" spans="1:38">
      <c r="A323" s="1"/>
      <c r="B323" s="358"/>
      <c r="C323" s="1"/>
      <c r="D323" s="1"/>
      <c r="E323" s="1"/>
      <c r="F323" s="1"/>
      <c r="G323" s="1"/>
      <c r="H323" s="1"/>
      <c r="I323" s="283"/>
      <c r="J323" s="283"/>
      <c r="K323" s="283"/>
      <c r="L323" s="283"/>
      <c r="M323" s="283"/>
      <c r="N323" s="283"/>
      <c r="O323" s="283"/>
      <c r="P323" s="283"/>
      <c r="Q323" s="283"/>
      <c r="R323" s="283"/>
      <c r="S323" s="283"/>
      <c r="T323" s="1"/>
      <c r="U323" s="1"/>
      <c r="V323" s="1"/>
      <c r="W323" s="1"/>
      <c r="X323" s="1"/>
      <c r="Y323" s="1"/>
      <c r="Z323" s="1"/>
      <c r="AA323" s="1"/>
      <c r="AB323" s="1"/>
      <c r="AC323" s="1"/>
      <c r="AD323" s="1"/>
      <c r="AE323" s="1"/>
      <c r="AF323" s="1"/>
      <c r="AG323" s="1"/>
      <c r="AH323" s="1"/>
      <c r="AI323" s="1"/>
      <c r="AJ323" s="1"/>
      <c r="AK323" s="1"/>
      <c r="AL323" s="1"/>
    </row>
    <row r="324" spans="1:38">
      <c r="A324" s="1"/>
      <c r="B324" s="358"/>
      <c r="C324" s="359" t="s">
        <v>370</v>
      </c>
      <c r="D324" s="1"/>
      <c r="E324" s="1"/>
      <c r="F324" s="1"/>
      <c r="G324" s="359" t="s">
        <v>171</v>
      </c>
      <c r="H324" s="1"/>
      <c r="I324" s="283"/>
      <c r="J324" s="283"/>
      <c r="K324" s="283"/>
      <c r="L324" s="283"/>
      <c r="M324" s="283"/>
      <c r="N324" s="283"/>
      <c r="O324" s="283"/>
      <c r="P324" s="283"/>
      <c r="Q324" s="283"/>
      <c r="R324" s="283"/>
      <c r="S324" s="283"/>
      <c r="T324" s="1"/>
      <c r="U324" s="1"/>
      <c r="V324" s="1"/>
      <c r="W324" s="1"/>
      <c r="X324" s="1"/>
      <c r="Y324" s="1"/>
      <c r="Z324" s="1"/>
      <c r="AA324" s="1"/>
      <c r="AB324" s="1"/>
      <c r="AC324" s="1"/>
      <c r="AD324" s="1"/>
      <c r="AE324" s="1"/>
      <c r="AF324" s="1"/>
      <c r="AG324" s="1"/>
      <c r="AH324" s="1"/>
      <c r="AI324" s="1"/>
      <c r="AJ324" s="1"/>
      <c r="AK324" s="1"/>
      <c r="AL324" s="1"/>
    </row>
    <row r="325" spans="1:38">
      <c r="A325" s="1" t="s">
        <v>255</v>
      </c>
      <c r="B325" s="1"/>
      <c r="C325" s="1"/>
      <c r="D325" s="358" t="s">
        <v>901</v>
      </c>
      <c r="E325" s="359" t="s">
        <v>171</v>
      </c>
      <c r="F325" s="1"/>
      <c r="G325" s="1"/>
      <c r="H325" s="1"/>
      <c r="I325" s="1"/>
      <c r="J325" s="359"/>
      <c r="K325" s="359"/>
      <c r="L325" s="359"/>
      <c r="M325" s="288"/>
      <c r="N325" s="288"/>
      <c r="O325" s="288"/>
      <c r="P325" s="288"/>
      <c r="Q325" s="288"/>
      <c r="R325" s="288"/>
      <c r="S325" s="283"/>
      <c r="T325" s="1"/>
      <c r="U325" s="1"/>
      <c r="V325" s="1"/>
      <c r="W325" s="1"/>
      <c r="X325" s="1"/>
      <c r="Y325" s="1"/>
      <c r="Z325" s="1"/>
      <c r="AA325" s="1"/>
      <c r="AB325" s="1"/>
      <c r="AC325" s="1"/>
      <c r="AD325" s="1"/>
      <c r="AE325" s="1"/>
      <c r="AF325" s="1"/>
      <c r="AG325" s="1"/>
      <c r="AH325" s="1"/>
      <c r="AI325" s="1"/>
      <c r="AJ325" s="1"/>
      <c r="AK325" s="1"/>
      <c r="AL325" s="1"/>
    </row>
    <row r="326" spans="1:38">
      <c r="A326" s="1"/>
      <c r="B326" s="1"/>
      <c r="C326" s="1"/>
      <c r="D326" s="1"/>
      <c r="E326" s="1" t="s">
        <v>1004</v>
      </c>
      <c r="F326" s="283" t="s">
        <v>1334</v>
      </c>
      <c r="G326" s="1"/>
      <c r="H326" s="1"/>
      <c r="I326" s="1"/>
      <c r="J326" s="283"/>
      <c r="K326" s="283"/>
      <c r="L326" s="283"/>
      <c r="M326" s="283"/>
      <c r="N326" s="283"/>
      <c r="O326" s="283"/>
      <c r="P326" s="283"/>
      <c r="Q326" s="283"/>
      <c r="R326" s="283"/>
      <c r="S326" s="283"/>
      <c r="T326" s="1"/>
      <c r="U326" s="1"/>
      <c r="V326" s="1"/>
      <c r="W326" s="1"/>
      <c r="X326" s="1"/>
      <c r="Y326" s="1"/>
      <c r="Z326" s="1"/>
      <c r="AA326" s="1"/>
      <c r="AB326" s="1"/>
      <c r="AC326" s="1"/>
      <c r="AD326" s="1"/>
      <c r="AE326" s="1"/>
      <c r="AF326" s="1"/>
      <c r="AG326" s="1"/>
      <c r="AH326" s="1"/>
      <c r="AI326" s="1"/>
      <c r="AJ326" s="1"/>
      <c r="AK326" s="1"/>
      <c r="AL326" s="1"/>
    </row>
    <row r="327" spans="1:38">
      <c r="A327" s="1"/>
      <c r="B327" s="1"/>
      <c r="C327" s="1"/>
      <c r="D327" s="1"/>
      <c r="E327" s="283" t="s">
        <v>1005</v>
      </c>
      <c r="F327" s="1" t="s">
        <v>979</v>
      </c>
      <c r="G327" s="1"/>
      <c r="H327" s="1"/>
      <c r="I327" s="1"/>
      <c r="J327" s="283"/>
      <c r="K327" s="283"/>
      <c r="L327" s="283"/>
      <c r="M327" s="283"/>
      <c r="N327" s="283"/>
      <c r="O327" s="283"/>
      <c r="P327" s="283"/>
      <c r="Q327" s="283"/>
      <c r="R327" s="283"/>
      <c r="S327" s="283"/>
      <c r="T327" s="1"/>
      <c r="U327" s="1"/>
      <c r="V327" s="1"/>
      <c r="W327" s="1"/>
      <c r="X327" s="1"/>
      <c r="Y327" s="1"/>
      <c r="Z327" s="1"/>
      <c r="AA327" s="1"/>
      <c r="AB327" s="1"/>
      <c r="AC327" s="1"/>
      <c r="AD327" s="1"/>
      <c r="AE327" s="1"/>
      <c r="AF327" s="1"/>
      <c r="AG327" s="1"/>
      <c r="AH327" s="1"/>
      <c r="AI327" s="1"/>
      <c r="AJ327" s="1"/>
      <c r="AK327" s="1"/>
      <c r="AL327" s="1"/>
    </row>
    <row r="328" spans="1:38">
      <c r="A328" s="1"/>
      <c r="B328" s="1"/>
      <c r="C328" s="1"/>
      <c r="D328" s="1"/>
      <c r="E328" s="1"/>
      <c r="F328" s="1067" t="s">
        <v>1792</v>
      </c>
      <c r="G328" s="1"/>
      <c r="H328" s="1"/>
      <c r="I328" s="1067"/>
      <c r="J328" s="283"/>
      <c r="K328" s="283"/>
      <c r="L328" s="283"/>
      <c r="M328" s="283"/>
      <c r="N328" s="283"/>
      <c r="O328" s="283"/>
      <c r="P328" s="283"/>
      <c r="Q328" s="283"/>
      <c r="R328" s="283"/>
      <c r="S328" s="283"/>
      <c r="T328" s="1"/>
      <c r="U328" s="1"/>
      <c r="V328" s="1"/>
      <c r="W328" s="1"/>
      <c r="X328" s="1"/>
      <c r="Y328" s="1"/>
      <c r="Z328" s="1"/>
      <c r="AA328" s="1"/>
      <c r="AB328" s="1"/>
      <c r="AC328" s="1"/>
      <c r="AD328" s="1"/>
      <c r="AE328" s="1"/>
      <c r="AF328" s="1"/>
      <c r="AG328" s="1"/>
      <c r="AH328" s="1"/>
      <c r="AI328" s="1"/>
      <c r="AJ328" s="1"/>
      <c r="AK328" s="1"/>
      <c r="AL328" s="1"/>
    </row>
    <row r="329" spans="1:38">
      <c r="A329" s="1"/>
      <c r="B329" s="1"/>
      <c r="C329" s="1"/>
      <c r="D329" s="1"/>
      <c r="E329" s="1"/>
      <c r="F329" s="1067" t="s">
        <v>1793</v>
      </c>
      <c r="G329" s="1"/>
      <c r="H329" s="1"/>
      <c r="I329" s="1067"/>
      <c r="J329" s="283"/>
      <c r="K329" s="283"/>
      <c r="L329" s="283"/>
      <c r="M329" s="283"/>
      <c r="N329" s="283"/>
      <c r="O329" s="283"/>
      <c r="P329" s="283"/>
      <c r="Q329" s="283"/>
      <c r="R329" s="283"/>
      <c r="S329" s="283"/>
      <c r="T329" s="1"/>
      <c r="U329" s="1"/>
      <c r="V329" s="1"/>
      <c r="W329" s="1"/>
      <c r="X329" s="1"/>
      <c r="Y329" s="1"/>
      <c r="Z329" s="1"/>
      <c r="AA329" s="1"/>
      <c r="AB329" s="1"/>
      <c r="AC329" s="1"/>
      <c r="AD329" s="1"/>
      <c r="AE329" s="1"/>
      <c r="AF329" s="1"/>
      <c r="AG329" s="1"/>
      <c r="AH329" s="1"/>
      <c r="AI329" s="1"/>
      <c r="AJ329" s="1"/>
      <c r="AK329" s="1"/>
      <c r="AL329" s="1"/>
    </row>
    <row r="330" spans="1:38">
      <c r="A330" s="1"/>
      <c r="B330" s="1"/>
      <c r="C330" s="1"/>
      <c r="D330" s="1"/>
      <c r="E330" s="1"/>
      <c r="F330" s="1"/>
      <c r="G330" s="1"/>
      <c r="H330" s="1"/>
      <c r="I330" s="1"/>
      <c r="J330" s="283"/>
      <c r="K330" s="283"/>
      <c r="L330" s="283"/>
      <c r="M330" s="283"/>
      <c r="N330" s="283"/>
      <c r="O330" s="283"/>
      <c r="P330" s="283"/>
      <c r="Q330" s="283"/>
      <c r="R330" s="283"/>
      <c r="S330" s="283"/>
      <c r="T330" s="1"/>
      <c r="U330" s="1"/>
      <c r="V330" s="1"/>
      <c r="W330" s="1"/>
      <c r="X330" s="1"/>
      <c r="Y330" s="1"/>
      <c r="Z330" s="1"/>
      <c r="AA330" s="1"/>
      <c r="AB330" s="1"/>
      <c r="AC330" s="1"/>
      <c r="AD330" s="1"/>
      <c r="AE330" s="1"/>
      <c r="AF330" s="1"/>
      <c r="AG330" s="1"/>
      <c r="AH330" s="1"/>
      <c r="AI330" s="1"/>
      <c r="AJ330" s="1"/>
      <c r="AK330" s="1"/>
      <c r="AL330" s="1"/>
    </row>
    <row r="331" spans="1:38">
      <c r="A331" s="12"/>
      <c r="B331" s="1066" t="s">
        <v>822</v>
      </c>
      <c r="C331" s="357" t="s">
        <v>875</v>
      </c>
      <c r="D331" s="12"/>
      <c r="E331" s="357"/>
      <c r="F331" s="357"/>
      <c r="G331" s="357"/>
      <c r="H331" s="357"/>
      <c r="I331" s="357"/>
      <c r="J331" s="356"/>
      <c r="K331" s="356"/>
      <c r="L331" s="356"/>
      <c r="M331" s="356"/>
      <c r="N331" s="356"/>
      <c r="O331" s="356"/>
      <c r="P331" s="356"/>
      <c r="Q331" s="356"/>
      <c r="R331" s="356"/>
      <c r="S331" s="356"/>
      <c r="T331" s="12"/>
      <c r="U331" s="12"/>
      <c r="V331" s="12"/>
      <c r="W331" s="12"/>
      <c r="X331" s="12"/>
      <c r="Y331" s="12"/>
      <c r="Z331" s="12"/>
      <c r="AA331" s="12"/>
      <c r="AB331" s="12"/>
      <c r="AC331" s="12"/>
      <c r="AD331" s="12"/>
      <c r="AE331" s="12"/>
      <c r="AF331" s="12"/>
      <c r="AG331" s="12"/>
      <c r="AH331" s="12"/>
      <c r="AI331" s="12"/>
      <c r="AJ331" s="12"/>
      <c r="AK331" s="12"/>
      <c r="AL331" s="12"/>
    </row>
    <row r="332" spans="1:38">
      <c r="A332" s="1"/>
      <c r="B332" s="358"/>
      <c r="C332" s="1"/>
      <c r="D332" s="359"/>
      <c r="E332" s="359"/>
      <c r="F332" s="359"/>
      <c r="G332" s="359"/>
      <c r="H332" s="359"/>
      <c r="I332" s="359"/>
      <c r="J332" s="283"/>
      <c r="K332" s="283"/>
      <c r="L332" s="283"/>
      <c r="M332" s="283"/>
      <c r="N332" s="283"/>
      <c r="O332" s="283"/>
      <c r="P332" s="283"/>
      <c r="Q332" s="283"/>
      <c r="R332" s="283"/>
      <c r="S332" s="283"/>
      <c r="T332" s="1"/>
      <c r="U332" s="1"/>
      <c r="V332" s="1"/>
      <c r="W332" s="1"/>
      <c r="X332" s="1"/>
      <c r="Y332" s="1"/>
      <c r="Z332" s="1"/>
      <c r="AA332" s="1"/>
      <c r="AB332" s="1"/>
      <c r="AC332" s="1"/>
      <c r="AD332" s="1"/>
      <c r="AE332" s="1"/>
      <c r="AF332" s="1"/>
      <c r="AG332" s="1"/>
      <c r="AH332" s="1"/>
      <c r="AI332" s="1"/>
      <c r="AJ332" s="1"/>
      <c r="AK332" s="1"/>
      <c r="AL332" s="1"/>
    </row>
    <row r="333" spans="1:38">
      <c r="A333" s="1"/>
      <c r="B333" s="358"/>
      <c r="C333" s="359" t="s">
        <v>305</v>
      </c>
      <c r="D333" s="1"/>
      <c r="E333" s="1"/>
      <c r="F333" s="1"/>
      <c r="G333" s="359" t="s">
        <v>875</v>
      </c>
      <c r="H333" s="1"/>
      <c r="I333" s="359"/>
      <c r="J333" s="283"/>
      <c r="K333" s="283"/>
      <c r="L333" s="283"/>
      <c r="M333" s="283"/>
      <c r="N333" s="283"/>
      <c r="O333" s="283"/>
      <c r="P333" s="283"/>
      <c r="Q333" s="283"/>
      <c r="R333" s="283"/>
      <c r="S333" s="283"/>
      <c r="T333" s="1"/>
      <c r="U333" s="1"/>
      <c r="V333" s="1"/>
      <c r="W333" s="1"/>
      <c r="X333" s="1"/>
      <c r="Y333" s="1"/>
      <c r="Z333" s="1"/>
      <c r="AA333" s="1"/>
      <c r="AB333" s="1"/>
      <c r="AC333" s="1"/>
      <c r="AD333" s="1"/>
      <c r="AE333" s="1"/>
      <c r="AF333" s="1"/>
      <c r="AG333" s="1"/>
      <c r="AH333" s="1"/>
      <c r="AI333" s="1"/>
      <c r="AJ333" s="1"/>
      <c r="AK333" s="1"/>
      <c r="AL333" s="1"/>
    </row>
    <row r="334" spans="1:38">
      <c r="A334" s="1"/>
      <c r="B334" s="358"/>
      <c r="C334" s="359"/>
      <c r="D334" s="358" t="s">
        <v>901</v>
      </c>
      <c r="E334" s="358" t="s">
        <v>875</v>
      </c>
      <c r="F334" s="1"/>
      <c r="G334" s="359"/>
      <c r="H334" s="1"/>
      <c r="I334" s="359"/>
      <c r="J334" s="283"/>
      <c r="K334" s="283"/>
      <c r="L334" s="283"/>
      <c r="M334" s="283"/>
      <c r="N334" s="283"/>
      <c r="O334" s="283"/>
      <c r="P334" s="283"/>
      <c r="Q334" s="283"/>
      <c r="R334" s="283"/>
      <c r="S334" s="283"/>
      <c r="T334" s="1"/>
      <c r="U334" s="1"/>
      <c r="V334" s="1"/>
      <c r="W334" s="1"/>
      <c r="X334" s="1"/>
      <c r="Y334" s="1"/>
      <c r="Z334" s="1"/>
      <c r="AA334" s="1"/>
      <c r="AB334" s="1"/>
      <c r="AC334" s="1"/>
      <c r="AD334" s="1"/>
      <c r="AE334" s="1"/>
      <c r="AF334" s="1"/>
      <c r="AG334" s="1"/>
      <c r="AH334" s="1"/>
      <c r="AI334" s="1"/>
      <c r="AJ334" s="1"/>
      <c r="AK334" s="1"/>
      <c r="AL334" s="1"/>
    </row>
    <row r="335" spans="1:38">
      <c r="A335" s="1"/>
      <c r="B335" s="358"/>
      <c r="C335" s="1"/>
      <c r="D335" s="1"/>
      <c r="E335" s="1" t="s">
        <v>1004</v>
      </c>
      <c r="F335" s="1" t="s">
        <v>521</v>
      </c>
      <c r="G335" s="1"/>
      <c r="H335" s="1"/>
      <c r="I335" s="1"/>
      <c r="J335" s="283"/>
      <c r="K335" s="283"/>
      <c r="L335" s="283"/>
      <c r="M335" s="283"/>
      <c r="N335" s="283"/>
      <c r="O335" s="283"/>
      <c r="P335" s="283"/>
      <c r="Q335" s="283"/>
      <c r="R335" s="283"/>
      <c r="S335" s="283"/>
      <c r="T335" s="1"/>
      <c r="U335" s="1"/>
      <c r="V335" s="1"/>
      <c r="W335" s="1"/>
      <c r="X335" s="1"/>
      <c r="Y335" s="1"/>
      <c r="Z335" s="1"/>
      <c r="AA335" s="1"/>
      <c r="AB335" s="1"/>
      <c r="AC335" s="1"/>
      <c r="AD335" s="1"/>
      <c r="AE335" s="1"/>
      <c r="AF335" s="1"/>
      <c r="AG335" s="1"/>
      <c r="AH335" s="1"/>
      <c r="AI335" s="1"/>
      <c r="AJ335" s="1"/>
      <c r="AK335" s="1"/>
      <c r="AL335" s="1"/>
    </row>
    <row r="336" spans="1:38">
      <c r="A336" s="1"/>
      <c r="B336" s="358"/>
      <c r="C336" s="1"/>
      <c r="D336" s="1"/>
      <c r="E336" s="283"/>
      <c r="F336" s="283" t="s">
        <v>522</v>
      </c>
      <c r="G336" s="1"/>
      <c r="H336" s="1"/>
      <c r="I336" s="1"/>
      <c r="J336" s="283"/>
      <c r="K336" s="283"/>
      <c r="L336" s="283"/>
      <c r="M336" s="283"/>
      <c r="N336" s="283"/>
      <c r="O336" s="283"/>
      <c r="P336" s="283"/>
      <c r="Q336" s="283"/>
      <c r="R336" s="283"/>
      <c r="S336" s="283"/>
      <c r="T336" s="1"/>
      <c r="U336" s="1"/>
      <c r="V336" s="1"/>
      <c r="W336" s="1"/>
      <c r="X336" s="1"/>
      <c r="Y336" s="1"/>
      <c r="Z336" s="1"/>
      <c r="AA336" s="1"/>
      <c r="AB336" s="1"/>
      <c r="AC336" s="1"/>
      <c r="AD336" s="1"/>
      <c r="AE336" s="1"/>
      <c r="AF336" s="1"/>
      <c r="AG336" s="1"/>
      <c r="AH336" s="1"/>
      <c r="AI336" s="1"/>
      <c r="AJ336" s="1"/>
      <c r="AK336" s="1"/>
      <c r="AL336" s="1"/>
    </row>
    <row r="337" spans="1:38">
      <c r="A337" s="1"/>
      <c r="B337" s="358"/>
      <c r="C337" s="1"/>
      <c r="D337" s="1"/>
      <c r="E337" s="283"/>
      <c r="F337" s="283" t="s">
        <v>523</v>
      </c>
      <c r="G337" s="1"/>
      <c r="H337" s="1"/>
      <c r="I337" s="283"/>
      <c r="J337" s="283"/>
      <c r="K337" s="283"/>
      <c r="L337" s="283"/>
      <c r="M337" s="283"/>
      <c r="N337" s="283"/>
      <c r="O337" s="283"/>
      <c r="P337" s="283"/>
      <c r="Q337" s="283"/>
      <c r="R337" s="283"/>
      <c r="S337" s="283"/>
      <c r="T337" s="1"/>
      <c r="U337" s="1"/>
      <c r="V337" s="1"/>
      <c r="W337" s="1"/>
      <c r="X337" s="1"/>
      <c r="Y337" s="1"/>
      <c r="Z337" s="1"/>
      <c r="AA337" s="1"/>
      <c r="AB337" s="1"/>
      <c r="AC337" s="1"/>
      <c r="AD337" s="1"/>
      <c r="AE337" s="1"/>
      <c r="AF337" s="1"/>
      <c r="AG337" s="1"/>
      <c r="AH337" s="1"/>
      <c r="AI337" s="1"/>
      <c r="AJ337" s="1"/>
      <c r="AK337" s="1"/>
      <c r="AL337" s="1"/>
    </row>
    <row r="338" spans="1:38">
      <c r="A338" s="1"/>
      <c r="B338" s="358"/>
      <c r="C338" s="1"/>
      <c r="D338" s="1"/>
      <c r="E338" s="283" t="s">
        <v>1005</v>
      </c>
      <c r="F338" s="283" t="s">
        <v>1794</v>
      </c>
      <c r="G338" s="1"/>
      <c r="H338" s="1"/>
      <c r="I338" s="283"/>
      <c r="J338" s="283"/>
      <c r="K338" s="283"/>
      <c r="L338" s="283"/>
      <c r="M338" s="283"/>
      <c r="N338" s="283"/>
      <c r="O338" s="283"/>
      <c r="P338" s="283"/>
      <c r="Q338" s="283"/>
      <c r="R338" s="283"/>
      <c r="S338" s="283"/>
      <c r="T338" s="1"/>
      <c r="U338" s="1"/>
      <c r="V338" s="1"/>
      <c r="W338" s="1"/>
      <c r="X338" s="1"/>
      <c r="Y338" s="1"/>
      <c r="Z338" s="1"/>
      <c r="AA338" s="1"/>
      <c r="AB338" s="1"/>
      <c r="AC338" s="1"/>
      <c r="AD338" s="1"/>
      <c r="AE338" s="1"/>
      <c r="AF338" s="1"/>
      <c r="AG338" s="1"/>
      <c r="AH338" s="1"/>
      <c r="AI338" s="1"/>
      <c r="AJ338" s="1"/>
      <c r="AK338" s="1"/>
      <c r="AL338" s="1"/>
    </row>
    <row r="339" spans="1:38">
      <c r="A339" s="1"/>
      <c r="B339" s="358"/>
      <c r="C339" s="1"/>
      <c r="D339" s="1"/>
      <c r="E339" s="283"/>
      <c r="F339" s="283" t="s">
        <v>1795</v>
      </c>
      <c r="G339" s="1"/>
      <c r="H339" s="1"/>
      <c r="I339" s="283"/>
      <c r="J339" s="283"/>
      <c r="K339" s="283"/>
      <c r="L339" s="283"/>
      <c r="M339" s="283"/>
      <c r="N339" s="283"/>
      <c r="O339" s="283"/>
      <c r="P339" s="283"/>
      <c r="Q339" s="283"/>
      <c r="R339" s="283"/>
      <c r="S339" s="283"/>
      <c r="T339" s="1"/>
      <c r="U339" s="1"/>
      <c r="V339" s="1"/>
      <c r="W339" s="1"/>
      <c r="X339" s="1"/>
      <c r="Y339" s="1"/>
      <c r="Z339" s="1"/>
      <c r="AA339" s="1"/>
      <c r="AB339" s="1"/>
      <c r="AC339" s="1"/>
      <c r="AD339" s="1"/>
      <c r="AE339" s="1"/>
      <c r="AF339" s="1"/>
      <c r="AG339" s="1"/>
      <c r="AH339" s="1"/>
      <c r="AI339" s="1"/>
      <c r="AJ339" s="1"/>
      <c r="AK339" s="1"/>
      <c r="AL339" s="1"/>
    </row>
    <row r="340" spans="1:38">
      <c r="A340" s="1"/>
      <c r="B340" s="358"/>
      <c r="C340" s="1"/>
      <c r="D340" s="1"/>
      <c r="E340" s="283"/>
      <c r="F340" s="283" t="s">
        <v>1340</v>
      </c>
      <c r="G340" s="1"/>
      <c r="H340" s="1"/>
      <c r="I340" s="283"/>
      <c r="J340" s="283"/>
      <c r="K340" s="283"/>
      <c r="L340" s="283"/>
      <c r="M340" s="283"/>
      <c r="N340" s="283"/>
      <c r="O340" s="283"/>
      <c r="P340" s="283"/>
      <c r="Q340" s="283"/>
      <c r="R340" s="283"/>
      <c r="S340" s="283"/>
      <c r="T340" s="1"/>
      <c r="U340" s="1"/>
      <c r="V340" s="1"/>
      <c r="W340" s="1"/>
      <c r="X340" s="1"/>
      <c r="Y340" s="1"/>
      <c r="Z340" s="1"/>
      <c r="AA340" s="1"/>
      <c r="AB340" s="1"/>
      <c r="AC340" s="1"/>
      <c r="AD340" s="1"/>
      <c r="AE340" s="1"/>
      <c r="AF340" s="1"/>
      <c r="AG340" s="1"/>
      <c r="AH340" s="1"/>
      <c r="AI340" s="1"/>
      <c r="AJ340" s="1"/>
      <c r="AK340" s="1"/>
      <c r="AL340" s="1"/>
    </row>
    <row r="341" spans="1:38">
      <c r="A341" s="1"/>
      <c r="B341" s="358"/>
      <c r="C341" s="1"/>
      <c r="D341" s="1"/>
      <c r="E341" s="1"/>
      <c r="F341" s="283"/>
      <c r="G341" s="1"/>
      <c r="H341" s="283"/>
      <c r="I341" s="283"/>
      <c r="J341" s="283"/>
      <c r="K341" s="283"/>
      <c r="L341" s="283"/>
      <c r="M341" s="283"/>
      <c r="N341" s="283"/>
      <c r="O341" s="283"/>
      <c r="P341" s="283"/>
      <c r="Q341" s="283"/>
      <c r="R341" s="283"/>
      <c r="S341" s="283"/>
      <c r="T341" s="1"/>
      <c r="U341" s="1"/>
      <c r="V341" s="1"/>
      <c r="W341" s="1"/>
      <c r="X341" s="1"/>
      <c r="Y341" s="1"/>
      <c r="Z341" s="1"/>
      <c r="AA341" s="1"/>
      <c r="AB341" s="1"/>
      <c r="AC341" s="1"/>
      <c r="AD341" s="1"/>
      <c r="AE341" s="1"/>
      <c r="AF341" s="1"/>
      <c r="AG341" s="1"/>
      <c r="AH341" s="1"/>
      <c r="AI341" s="1"/>
      <c r="AJ341" s="1"/>
      <c r="AK341" s="1"/>
      <c r="AL341" s="1"/>
    </row>
    <row r="342" spans="1:38">
      <c r="A342" s="1"/>
      <c r="B342" s="358"/>
      <c r="C342" s="359" t="s">
        <v>306</v>
      </c>
      <c r="D342" s="1"/>
      <c r="E342" s="1"/>
      <c r="F342" s="1"/>
      <c r="G342" s="359" t="s">
        <v>2060</v>
      </c>
      <c r="H342" s="1"/>
      <c r="I342" s="359"/>
      <c r="J342" s="283"/>
      <c r="K342" s="283"/>
      <c r="L342" s="283"/>
      <c r="M342" s="283"/>
      <c r="N342" s="283"/>
      <c r="O342" s="283"/>
      <c r="P342" s="283"/>
      <c r="Q342" s="283"/>
      <c r="R342" s="283"/>
      <c r="S342" s="283"/>
      <c r="T342" s="1"/>
      <c r="U342" s="1"/>
      <c r="V342" s="1"/>
      <c r="W342" s="1"/>
      <c r="X342" s="1"/>
      <c r="Y342" s="1"/>
      <c r="Z342" s="1"/>
      <c r="AA342" s="1"/>
      <c r="AB342" s="1"/>
      <c r="AC342" s="1"/>
      <c r="AD342" s="1"/>
      <c r="AE342" s="1"/>
      <c r="AF342" s="1"/>
      <c r="AG342" s="1"/>
      <c r="AH342" s="1"/>
      <c r="AI342" s="1"/>
      <c r="AJ342" s="1"/>
      <c r="AK342" s="1"/>
      <c r="AL342" s="1"/>
    </row>
    <row r="343" spans="1:38" ht="13.65" customHeight="1">
      <c r="A343" s="1"/>
      <c r="B343" s="358"/>
      <c r="C343" s="1"/>
      <c r="D343" s="1"/>
      <c r="E343" s="1524" t="s">
        <v>2061</v>
      </c>
      <c r="F343" s="1524"/>
      <c r="G343" s="1524"/>
      <c r="H343" s="1524"/>
      <c r="I343" s="1524"/>
      <c r="J343" s="1524"/>
      <c r="K343" s="1524"/>
      <c r="L343" s="1524"/>
      <c r="M343" s="1524"/>
      <c r="N343" s="1524"/>
      <c r="O343" s="1524"/>
      <c r="P343" s="1524"/>
      <c r="Q343" s="1524"/>
      <c r="R343" s="1524"/>
      <c r="S343" s="1524"/>
      <c r="T343" s="1524"/>
      <c r="U343" s="1524"/>
      <c r="V343" s="1524"/>
      <c r="W343" s="1524"/>
      <c r="X343" s="1524"/>
      <c r="Y343" s="1524"/>
      <c r="Z343" s="1524"/>
      <c r="AA343" s="1524"/>
      <c r="AB343" s="1524"/>
      <c r="AC343" s="1524"/>
      <c r="AD343" s="1524"/>
      <c r="AE343" s="1524"/>
      <c r="AF343" s="1524"/>
      <c r="AG343" s="1524"/>
      <c r="AH343" s="1524"/>
      <c r="AI343" s="1524"/>
      <c r="AJ343" s="1524"/>
      <c r="AK343" s="1524"/>
      <c r="AL343" s="1"/>
    </row>
    <row r="344" spans="1:38">
      <c r="A344" s="1"/>
      <c r="B344" s="358"/>
      <c r="C344" s="1"/>
      <c r="D344" s="1"/>
      <c r="E344" s="1524"/>
      <c r="F344" s="1524"/>
      <c r="G344" s="1524"/>
      <c r="H344" s="1524"/>
      <c r="I344" s="1524"/>
      <c r="J344" s="1524"/>
      <c r="K344" s="1524"/>
      <c r="L344" s="1524"/>
      <c r="M344" s="1524"/>
      <c r="N344" s="1524"/>
      <c r="O344" s="1524"/>
      <c r="P344" s="1524"/>
      <c r="Q344" s="1524"/>
      <c r="R344" s="1524"/>
      <c r="S344" s="1524"/>
      <c r="T344" s="1524"/>
      <c r="U344" s="1524"/>
      <c r="V344" s="1524"/>
      <c r="W344" s="1524"/>
      <c r="X344" s="1524"/>
      <c r="Y344" s="1524"/>
      <c r="Z344" s="1524"/>
      <c r="AA344" s="1524"/>
      <c r="AB344" s="1524"/>
      <c r="AC344" s="1524"/>
      <c r="AD344" s="1524"/>
      <c r="AE344" s="1524"/>
      <c r="AF344" s="1524"/>
      <c r="AG344" s="1524"/>
      <c r="AH344" s="1524"/>
      <c r="AI344" s="1524"/>
      <c r="AJ344" s="1524"/>
      <c r="AK344" s="1524"/>
      <c r="AL344" s="1"/>
    </row>
    <row r="345" spans="1:38">
      <c r="A345" s="1"/>
      <c r="B345" s="358"/>
      <c r="C345" s="1"/>
      <c r="D345" s="1"/>
      <c r="E345" s="1524"/>
      <c r="F345" s="1524"/>
      <c r="G345" s="1524"/>
      <c r="H345" s="1524"/>
      <c r="I345" s="1524"/>
      <c r="J345" s="1524"/>
      <c r="K345" s="1524"/>
      <c r="L345" s="1524"/>
      <c r="M345" s="1524"/>
      <c r="N345" s="1524"/>
      <c r="O345" s="1524"/>
      <c r="P345" s="1524"/>
      <c r="Q345" s="1524"/>
      <c r="R345" s="1524"/>
      <c r="S345" s="1524"/>
      <c r="T345" s="1524"/>
      <c r="U345" s="1524"/>
      <c r="V345" s="1524"/>
      <c r="W345" s="1524"/>
      <c r="X345" s="1524"/>
      <c r="Y345" s="1524"/>
      <c r="Z345" s="1524"/>
      <c r="AA345" s="1524"/>
      <c r="AB345" s="1524"/>
      <c r="AC345" s="1524"/>
      <c r="AD345" s="1524"/>
      <c r="AE345" s="1524"/>
      <c r="AF345" s="1524"/>
      <c r="AG345" s="1524"/>
      <c r="AH345" s="1524"/>
      <c r="AI345" s="1524"/>
      <c r="AJ345" s="1524"/>
      <c r="AK345" s="1524"/>
      <c r="AL345" s="1"/>
    </row>
    <row r="346" spans="1:38">
      <c r="A346" s="1"/>
      <c r="B346" s="358"/>
      <c r="C346" s="1"/>
      <c r="D346" s="1"/>
      <c r="E346" s="1524"/>
      <c r="F346" s="1524"/>
      <c r="G346" s="1524"/>
      <c r="H346" s="1524"/>
      <c r="I346" s="1524"/>
      <c r="J346" s="1524"/>
      <c r="K346" s="1524"/>
      <c r="L346" s="1524"/>
      <c r="M346" s="1524"/>
      <c r="N346" s="1524"/>
      <c r="O346" s="1524"/>
      <c r="P346" s="1524"/>
      <c r="Q346" s="1524"/>
      <c r="R346" s="1524"/>
      <c r="S346" s="1524"/>
      <c r="T346" s="1524"/>
      <c r="U346" s="1524"/>
      <c r="V346" s="1524"/>
      <c r="W346" s="1524"/>
      <c r="X346" s="1524"/>
      <c r="Y346" s="1524"/>
      <c r="Z346" s="1524"/>
      <c r="AA346" s="1524"/>
      <c r="AB346" s="1524"/>
      <c r="AC346" s="1524"/>
      <c r="AD346" s="1524"/>
      <c r="AE346" s="1524"/>
      <c r="AF346" s="1524"/>
      <c r="AG346" s="1524"/>
      <c r="AH346" s="1524"/>
      <c r="AI346" s="1524"/>
      <c r="AJ346" s="1524"/>
      <c r="AK346" s="1524"/>
      <c r="AL346" s="1"/>
    </row>
    <row r="347" spans="1:38">
      <c r="A347" s="1"/>
      <c r="B347" s="358"/>
      <c r="C347" s="1"/>
      <c r="D347" s="1"/>
      <c r="E347" s="1524"/>
      <c r="F347" s="1524"/>
      <c r="G347" s="1524"/>
      <c r="H347" s="1524"/>
      <c r="I347" s="1524"/>
      <c r="J347" s="1524"/>
      <c r="K347" s="1524"/>
      <c r="L347" s="1524"/>
      <c r="M347" s="1524"/>
      <c r="N347" s="1524"/>
      <c r="O347" s="1524"/>
      <c r="P347" s="1524"/>
      <c r="Q347" s="1524"/>
      <c r="R347" s="1524"/>
      <c r="S347" s="1524"/>
      <c r="T347" s="1524"/>
      <c r="U347" s="1524"/>
      <c r="V347" s="1524"/>
      <c r="W347" s="1524"/>
      <c r="X347" s="1524"/>
      <c r="Y347" s="1524"/>
      <c r="Z347" s="1524"/>
      <c r="AA347" s="1524"/>
      <c r="AB347" s="1524"/>
      <c r="AC347" s="1524"/>
      <c r="AD347" s="1524"/>
      <c r="AE347" s="1524"/>
      <c r="AF347" s="1524"/>
      <c r="AG347" s="1524"/>
      <c r="AH347" s="1524"/>
      <c r="AI347" s="1524"/>
      <c r="AJ347" s="1524"/>
      <c r="AK347" s="1524"/>
      <c r="AL347" s="1"/>
    </row>
    <row r="348" spans="1:38">
      <c r="A348" s="1"/>
      <c r="B348" s="358"/>
      <c r="C348" s="1"/>
      <c r="D348" s="1"/>
      <c r="E348" s="283" t="s">
        <v>1004</v>
      </c>
      <c r="F348" s="1515" t="s">
        <v>2062</v>
      </c>
      <c r="G348" s="1522"/>
      <c r="H348" s="1522"/>
      <c r="I348" s="1522"/>
      <c r="J348" s="1522"/>
      <c r="K348" s="1522"/>
      <c r="L348" s="1522"/>
      <c r="M348" s="1522"/>
      <c r="N348" s="1522"/>
      <c r="O348" s="1522"/>
      <c r="P348" s="1522"/>
      <c r="Q348" s="1522"/>
      <c r="R348" s="1522"/>
      <c r="S348" s="1522"/>
      <c r="T348" s="1522"/>
      <c r="U348" s="1522"/>
      <c r="V348" s="1522"/>
      <c r="W348" s="1522"/>
      <c r="X348" s="1522"/>
      <c r="Y348" s="1522"/>
      <c r="Z348" s="1522"/>
      <c r="AA348" s="1522"/>
      <c r="AB348" s="1522"/>
      <c r="AC348" s="1522"/>
      <c r="AD348" s="1522"/>
      <c r="AE348" s="1522"/>
      <c r="AF348" s="1522"/>
      <c r="AG348" s="1522"/>
      <c r="AH348" s="1522"/>
      <c r="AI348" s="1522"/>
      <c r="AJ348" s="1522"/>
      <c r="AK348" s="1522"/>
      <c r="AL348" s="1"/>
    </row>
    <row r="349" spans="1:38">
      <c r="A349" s="1"/>
      <c r="B349" s="358"/>
      <c r="C349" s="1"/>
      <c r="D349" s="1"/>
      <c r="E349" s="283"/>
      <c r="F349" s="1515"/>
      <c r="G349" s="1522"/>
      <c r="H349" s="1522"/>
      <c r="I349" s="1522"/>
      <c r="J349" s="1522"/>
      <c r="K349" s="1522"/>
      <c r="L349" s="1522"/>
      <c r="M349" s="1522"/>
      <c r="N349" s="1522"/>
      <c r="O349" s="1522"/>
      <c r="P349" s="1522"/>
      <c r="Q349" s="1522"/>
      <c r="R349" s="1522"/>
      <c r="S349" s="1522"/>
      <c r="T349" s="1522"/>
      <c r="U349" s="1522"/>
      <c r="V349" s="1522"/>
      <c r="W349" s="1522"/>
      <c r="X349" s="1522"/>
      <c r="Y349" s="1522"/>
      <c r="Z349" s="1522"/>
      <c r="AA349" s="1522"/>
      <c r="AB349" s="1522"/>
      <c r="AC349" s="1522"/>
      <c r="AD349" s="1522"/>
      <c r="AE349" s="1522"/>
      <c r="AF349" s="1522"/>
      <c r="AG349" s="1522"/>
      <c r="AH349" s="1522"/>
      <c r="AI349" s="1522"/>
      <c r="AJ349" s="1522"/>
      <c r="AK349" s="1522"/>
      <c r="AL349" s="1"/>
    </row>
    <row r="350" spans="1:38">
      <c r="A350" s="1"/>
      <c r="B350" s="358"/>
      <c r="C350" s="1"/>
      <c r="D350" s="1"/>
      <c r="E350" s="283"/>
      <c r="F350" s="1522"/>
      <c r="G350" s="1522"/>
      <c r="H350" s="1522"/>
      <c r="I350" s="1522"/>
      <c r="J350" s="1522"/>
      <c r="K350" s="1522"/>
      <c r="L350" s="1522"/>
      <c r="M350" s="1522"/>
      <c r="N350" s="1522"/>
      <c r="O350" s="1522"/>
      <c r="P350" s="1522"/>
      <c r="Q350" s="1522"/>
      <c r="R350" s="1522"/>
      <c r="S350" s="1522"/>
      <c r="T350" s="1522"/>
      <c r="U350" s="1522"/>
      <c r="V350" s="1522"/>
      <c r="W350" s="1522"/>
      <c r="X350" s="1522"/>
      <c r="Y350" s="1522"/>
      <c r="Z350" s="1522"/>
      <c r="AA350" s="1522"/>
      <c r="AB350" s="1522"/>
      <c r="AC350" s="1522"/>
      <c r="AD350" s="1522"/>
      <c r="AE350" s="1522"/>
      <c r="AF350" s="1522"/>
      <c r="AG350" s="1522"/>
      <c r="AH350" s="1522"/>
      <c r="AI350" s="1522"/>
      <c r="AJ350" s="1522"/>
      <c r="AK350" s="1522"/>
      <c r="AL350" s="1"/>
    </row>
    <row r="351" spans="1:38">
      <c r="A351" s="1"/>
      <c r="B351" s="358"/>
      <c r="C351" s="1"/>
      <c r="D351" s="1"/>
      <c r="E351" s="283"/>
      <c r="F351" s="1522"/>
      <c r="G351" s="1522"/>
      <c r="H351" s="1522"/>
      <c r="I351" s="1522"/>
      <c r="J351" s="1522"/>
      <c r="K351" s="1522"/>
      <c r="L351" s="1522"/>
      <c r="M351" s="1522"/>
      <c r="N351" s="1522"/>
      <c r="O351" s="1522"/>
      <c r="P351" s="1522"/>
      <c r="Q351" s="1522"/>
      <c r="R351" s="1522"/>
      <c r="S351" s="1522"/>
      <c r="T351" s="1522"/>
      <c r="U351" s="1522"/>
      <c r="V351" s="1522"/>
      <c r="W351" s="1522"/>
      <c r="X351" s="1522"/>
      <c r="Y351" s="1522"/>
      <c r="Z351" s="1522"/>
      <c r="AA351" s="1522"/>
      <c r="AB351" s="1522"/>
      <c r="AC351" s="1522"/>
      <c r="AD351" s="1522"/>
      <c r="AE351" s="1522"/>
      <c r="AF351" s="1522"/>
      <c r="AG351" s="1522"/>
      <c r="AH351" s="1522"/>
      <c r="AI351" s="1522"/>
      <c r="AJ351" s="1522"/>
      <c r="AK351" s="1522"/>
      <c r="AL351" s="1"/>
    </row>
    <row r="352" spans="1:38">
      <c r="A352" s="1"/>
      <c r="B352" s="358"/>
      <c r="C352" s="1"/>
      <c r="D352" s="1"/>
      <c r="E352" s="283" t="s">
        <v>1005</v>
      </c>
      <c r="F352" s="1515" t="s">
        <v>2063</v>
      </c>
      <c r="G352" s="1522"/>
      <c r="H352" s="1522"/>
      <c r="I352" s="1522"/>
      <c r="J352" s="1522"/>
      <c r="K352" s="1522"/>
      <c r="L352" s="1522"/>
      <c r="M352" s="1522"/>
      <c r="N352" s="1522"/>
      <c r="O352" s="1522"/>
      <c r="P352" s="1522"/>
      <c r="Q352" s="1522"/>
      <c r="R352" s="1522"/>
      <c r="S352" s="1522"/>
      <c r="T352" s="1522"/>
      <c r="U352" s="1522"/>
      <c r="V352" s="1522"/>
      <c r="W352" s="1522"/>
      <c r="X352" s="1522"/>
      <c r="Y352" s="1522"/>
      <c r="Z352" s="1522"/>
      <c r="AA352" s="1522"/>
      <c r="AB352" s="1522"/>
      <c r="AC352" s="1522"/>
      <c r="AD352" s="1522"/>
      <c r="AE352" s="1522"/>
      <c r="AF352" s="1522"/>
      <c r="AG352" s="1522"/>
      <c r="AH352" s="1522"/>
      <c r="AI352" s="1522"/>
      <c r="AJ352" s="1522"/>
      <c r="AK352" s="1522"/>
      <c r="AL352" s="1"/>
    </row>
    <row r="353" spans="1:38">
      <c r="A353" s="1"/>
      <c r="B353" s="358"/>
      <c r="C353" s="1"/>
      <c r="D353" s="1"/>
      <c r="E353" s="1"/>
      <c r="F353" s="1522"/>
      <c r="G353" s="1522"/>
      <c r="H353" s="1522"/>
      <c r="I353" s="1522"/>
      <c r="J353" s="1522"/>
      <c r="K353" s="1522"/>
      <c r="L353" s="1522"/>
      <c r="M353" s="1522"/>
      <c r="N353" s="1522"/>
      <c r="O353" s="1522"/>
      <c r="P353" s="1522"/>
      <c r="Q353" s="1522"/>
      <c r="R353" s="1522"/>
      <c r="S353" s="1522"/>
      <c r="T353" s="1522"/>
      <c r="U353" s="1522"/>
      <c r="V353" s="1522"/>
      <c r="W353" s="1522"/>
      <c r="X353" s="1522"/>
      <c r="Y353" s="1522"/>
      <c r="Z353" s="1522"/>
      <c r="AA353" s="1522"/>
      <c r="AB353" s="1522"/>
      <c r="AC353" s="1522"/>
      <c r="AD353" s="1522"/>
      <c r="AE353" s="1522"/>
      <c r="AF353" s="1522"/>
      <c r="AG353" s="1522"/>
      <c r="AH353" s="1522"/>
      <c r="AI353" s="1522"/>
      <c r="AJ353" s="1522"/>
      <c r="AK353" s="1522"/>
      <c r="AL353" s="1"/>
    </row>
    <row r="354" spans="1:38">
      <c r="A354" s="1"/>
      <c r="B354" s="358"/>
      <c r="C354" s="1"/>
      <c r="D354" s="1"/>
      <c r="E354" s="1"/>
      <c r="F354" s="1522"/>
      <c r="G354" s="1522"/>
      <c r="H354" s="1522"/>
      <c r="I354" s="1522"/>
      <c r="J354" s="1522"/>
      <c r="K354" s="1522"/>
      <c r="L354" s="1522"/>
      <c r="M354" s="1522"/>
      <c r="N354" s="1522"/>
      <c r="O354" s="1522"/>
      <c r="P354" s="1522"/>
      <c r="Q354" s="1522"/>
      <c r="R354" s="1522"/>
      <c r="S354" s="1522"/>
      <c r="T354" s="1522"/>
      <c r="U354" s="1522"/>
      <c r="V354" s="1522"/>
      <c r="W354" s="1522"/>
      <c r="X354" s="1522"/>
      <c r="Y354" s="1522"/>
      <c r="Z354" s="1522"/>
      <c r="AA354" s="1522"/>
      <c r="AB354" s="1522"/>
      <c r="AC354" s="1522"/>
      <c r="AD354" s="1522"/>
      <c r="AE354" s="1522"/>
      <c r="AF354" s="1522"/>
      <c r="AG354" s="1522"/>
      <c r="AH354" s="1522"/>
      <c r="AI354" s="1522"/>
      <c r="AJ354" s="1522"/>
      <c r="AK354" s="1522"/>
      <c r="AL354" s="1"/>
    </row>
    <row r="355" spans="1:38">
      <c r="A355" s="1"/>
      <c r="B355" s="358"/>
      <c r="C355" s="1"/>
      <c r="D355" s="1"/>
      <c r="E355" s="1"/>
      <c r="F355" s="1522"/>
      <c r="G355" s="1522"/>
      <c r="H355" s="1522"/>
      <c r="I355" s="1522"/>
      <c r="J355" s="1522"/>
      <c r="K355" s="1522"/>
      <c r="L355" s="1522"/>
      <c r="M355" s="1522"/>
      <c r="N355" s="1522"/>
      <c r="O355" s="1522"/>
      <c r="P355" s="1522"/>
      <c r="Q355" s="1522"/>
      <c r="R355" s="1522"/>
      <c r="S355" s="1522"/>
      <c r="T355" s="1522"/>
      <c r="U355" s="1522"/>
      <c r="V355" s="1522"/>
      <c r="W355" s="1522"/>
      <c r="X355" s="1522"/>
      <c r="Y355" s="1522"/>
      <c r="Z355" s="1522"/>
      <c r="AA355" s="1522"/>
      <c r="AB355" s="1522"/>
      <c r="AC355" s="1522"/>
      <c r="AD355" s="1522"/>
      <c r="AE355" s="1522"/>
      <c r="AF355" s="1522"/>
      <c r="AG355" s="1522"/>
      <c r="AH355" s="1522"/>
      <c r="AI355" s="1522"/>
      <c r="AJ355" s="1522"/>
      <c r="AK355" s="1522"/>
      <c r="AL355" s="1"/>
    </row>
    <row r="356" spans="1:38">
      <c r="A356" s="12"/>
      <c r="B356" s="1066" t="s">
        <v>497</v>
      </c>
      <c r="C356" s="1066" t="s">
        <v>172</v>
      </c>
      <c r="D356" s="12"/>
      <c r="E356" s="1066"/>
      <c r="F356" s="12"/>
      <c r="G356" s="12"/>
      <c r="H356" s="12"/>
      <c r="I356" s="12"/>
      <c r="J356" s="12"/>
      <c r="K356" s="12"/>
      <c r="L356" s="12"/>
      <c r="M356" s="356"/>
      <c r="N356" s="356"/>
      <c r="O356" s="356"/>
      <c r="P356" s="356"/>
      <c r="Q356" s="356"/>
      <c r="R356" s="356"/>
      <c r="S356" s="356"/>
      <c r="T356" s="356"/>
      <c r="U356" s="12"/>
      <c r="V356" s="12"/>
      <c r="W356" s="12"/>
      <c r="X356" s="12"/>
      <c r="Y356" s="12"/>
      <c r="Z356" s="12"/>
      <c r="AA356" s="12"/>
      <c r="AB356" s="12"/>
      <c r="AC356" s="12"/>
      <c r="AD356" s="12"/>
      <c r="AE356" s="12"/>
      <c r="AF356" s="12"/>
      <c r="AG356" s="12"/>
      <c r="AH356" s="12"/>
      <c r="AI356" s="12"/>
      <c r="AJ356" s="12"/>
      <c r="AK356" s="12"/>
      <c r="AL356" s="12"/>
    </row>
    <row r="357" spans="1:38">
      <c r="A357" s="1"/>
      <c r="B357" s="358"/>
      <c r="C357" s="1"/>
      <c r="D357" s="358"/>
      <c r="E357" s="358"/>
      <c r="F357" s="1"/>
      <c r="G357" s="1"/>
      <c r="H357" s="1"/>
      <c r="I357" s="1"/>
      <c r="J357" s="1"/>
      <c r="K357" s="1"/>
      <c r="L357" s="1"/>
      <c r="M357" s="283"/>
      <c r="N357" s="283"/>
      <c r="O357" s="283"/>
      <c r="P357" s="283"/>
      <c r="Q357" s="283"/>
      <c r="R357" s="283"/>
      <c r="S357" s="283"/>
      <c r="T357" s="283"/>
      <c r="U357" s="1"/>
      <c r="V357" s="1"/>
      <c r="W357" s="1"/>
      <c r="X357" s="1"/>
      <c r="Y357" s="1"/>
      <c r="Z357" s="1"/>
      <c r="AA357" s="1"/>
      <c r="AB357" s="1"/>
      <c r="AC357" s="1"/>
      <c r="AD357" s="1"/>
      <c r="AE357" s="1"/>
      <c r="AF357" s="1"/>
      <c r="AG357" s="1"/>
      <c r="AH357" s="1"/>
      <c r="AI357" s="1"/>
      <c r="AJ357" s="1"/>
      <c r="AK357" s="1"/>
      <c r="AL357" s="1"/>
    </row>
    <row r="358" spans="1:38">
      <c r="A358" s="1"/>
      <c r="B358" s="358"/>
      <c r="C358" s="1"/>
      <c r="D358" s="358" t="s">
        <v>901</v>
      </c>
      <c r="E358" s="358" t="s">
        <v>229</v>
      </c>
      <c r="F358" s="1"/>
      <c r="G358" s="1"/>
      <c r="H358" s="1"/>
      <c r="I358" s="283"/>
      <c r="J358" s="283"/>
      <c r="K358" s="283"/>
      <c r="L358" s="283"/>
      <c r="M358" s="283"/>
      <c r="N358" s="283"/>
      <c r="O358" s="283"/>
      <c r="P358" s="283"/>
      <c r="Q358" s="283"/>
      <c r="R358" s="283"/>
      <c r="S358" s="283"/>
      <c r="T358" s="1"/>
      <c r="U358" s="1"/>
      <c r="V358" s="1"/>
      <c r="W358" s="1"/>
      <c r="X358" s="1"/>
      <c r="Y358" s="1"/>
      <c r="Z358" s="1"/>
      <c r="AA358" s="1"/>
      <c r="AB358" s="1"/>
      <c r="AC358" s="1"/>
      <c r="AD358" s="1"/>
      <c r="AE358" s="1"/>
      <c r="AF358" s="1"/>
      <c r="AG358" s="1"/>
      <c r="AH358" s="1"/>
      <c r="AI358" s="1"/>
      <c r="AJ358" s="1"/>
      <c r="AK358" s="1"/>
      <c r="AL358" s="1"/>
    </row>
    <row r="359" spans="1:38">
      <c r="A359" s="1"/>
      <c r="B359" s="358"/>
      <c r="C359" s="1"/>
      <c r="D359" s="1"/>
      <c r="E359" s="1" t="s">
        <v>1004</v>
      </c>
      <c r="F359" s="283" t="s">
        <v>628</v>
      </c>
      <c r="G359" s="1"/>
      <c r="H359" s="1"/>
      <c r="I359" s="283"/>
      <c r="J359" s="283"/>
      <c r="K359" s="283"/>
      <c r="L359" s="283"/>
      <c r="M359" s="283"/>
      <c r="N359" s="283"/>
      <c r="O359" s="283"/>
      <c r="P359" s="283"/>
      <c r="Q359" s="283"/>
      <c r="R359" s="283"/>
      <c r="S359" s="283"/>
      <c r="T359" s="1"/>
      <c r="U359" s="1"/>
      <c r="V359" s="1"/>
      <c r="W359" s="1"/>
      <c r="X359" s="1"/>
      <c r="Y359" s="1"/>
      <c r="Z359" s="1"/>
      <c r="AA359" s="1"/>
      <c r="AB359" s="1"/>
      <c r="AC359" s="1"/>
      <c r="AD359" s="1"/>
      <c r="AE359" s="1"/>
      <c r="AF359" s="1"/>
      <c r="AG359" s="1"/>
      <c r="AH359" s="1"/>
      <c r="AI359" s="1"/>
      <c r="AJ359" s="1"/>
      <c r="AK359" s="1"/>
      <c r="AL359" s="1"/>
    </row>
    <row r="360" spans="1:38">
      <c r="A360" s="1"/>
      <c r="B360" s="358"/>
      <c r="C360" s="1"/>
      <c r="D360" s="1"/>
      <c r="E360" s="1"/>
      <c r="F360" s="283" t="s">
        <v>629</v>
      </c>
      <c r="G360" s="1"/>
      <c r="H360" s="1"/>
      <c r="I360" s="283"/>
      <c r="J360" s="283"/>
      <c r="K360" s="283"/>
      <c r="L360" s="283"/>
      <c r="M360" s="283"/>
      <c r="N360" s="283"/>
      <c r="O360" s="283"/>
      <c r="P360" s="283"/>
      <c r="Q360" s="283"/>
      <c r="R360" s="283"/>
      <c r="S360" s="283"/>
      <c r="T360" s="1"/>
      <c r="U360" s="1"/>
      <c r="V360" s="1"/>
      <c r="W360" s="1"/>
      <c r="X360" s="1"/>
      <c r="Y360" s="1"/>
      <c r="Z360" s="1"/>
      <c r="AA360" s="1"/>
      <c r="AB360" s="1"/>
      <c r="AC360" s="1"/>
      <c r="AD360" s="1"/>
      <c r="AE360" s="1"/>
      <c r="AF360" s="1"/>
      <c r="AG360" s="1"/>
      <c r="AH360" s="1"/>
      <c r="AI360" s="1"/>
      <c r="AJ360" s="1"/>
      <c r="AK360" s="1"/>
      <c r="AL360" s="1"/>
    </row>
    <row r="361" spans="1:38">
      <c r="A361" s="1"/>
      <c r="B361" s="358"/>
      <c r="C361" s="1"/>
      <c r="D361" s="1"/>
      <c r="E361" s="1"/>
      <c r="F361" s="283" t="s">
        <v>1171</v>
      </c>
      <c r="G361" s="283"/>
      <c r="H361" s="1"/>
      <c r="I361" s="1"/>
      <c r="J361" s="1"/>
      <c r="K361" s="283"/>
      <c r="L361" s="283"/>
      <c r="M361" s="283"/>
      <c r="N361" s="283"/>
      <c r="O361" s="283"/>
      <c r="P361" s="283"/>
      <c r="Q361" s="283"/>
      <c r="R361" s="283"/>
      <c r="S361" s="283"/>
      <c r="T361" s="1"/>
      <c r="U361" s="1"/>
      <c r="V361" s="1"/>
      <c r="W361" s="1"/>
      <c r="X361" s="1"/>
      <c r="Y361" s="1"/>
      <c r="Z361" s="1"/>
      <c r="AA361" s="1"/>
      <c r="AB361" s="1"/>
      <c r="AC361" s="1"/>
      <c r="AD361" s="1"/>
      <c r="AE361" s="1"/>
      <c r="AF361" s="1"/>
      <c r="AG361" s="1"/>
      <c r="AH361" s="1"/>
      <c r="AI361" s="1"/>
      <c r="AJ361" s="1"/>
      <c r="AK361" s="1"/>
      <c r="AL361" s="1"/>
    </row>
    <row r="362" spans="1:38">
      <c r="A362" s="1"/>
      <c r="B362" s="358"/>
      <c r="C362" s="1"/>
      <c r="D362" s="1"/>
      <c r="E362" s="1" t="s">
        <v>1005</v>
      </c>
      <c r="F362" s="283" t="s">
        <v>1172</v>
      </c>
      <c r="G362" s="1"/>
      <c r="H362" s="1"/>
      <c r="I362" s="283"/>
      <c r="J362" s="283"/>
      <c r="K362" s="283"/>
      <c r="L362" s="283"/>
      <c r="M362" s="283"/>
      <c r="N362" s="283"/>
      <c r="O362" s="283"/>
      <c r="P362" s="283"/>
      <c r="Q362" s="283"/>
      <c r="R362" s="283"/>
      <c r="S362" s="283"/>
      <c r="T362" s="1"/>
      <c r="U362" s="1"/>
      <c r="V362" s="1"/>
      <c r="W362" s="1"/>
      <c r="X362" s="1"/>
      <c r="Y362" s="1"/>
      <c r="Z362" s="1"/>
      <c r="AA362" s="1"/>
      <c r="AB362" s="1"/>
      <c r="AC362" s="1"/>
      <c r="AD362" s="1"/>
      <c r="AE362" s="1"/>
      <c r="AF362" s="1"/>
      <c r="AG362" s="1"/>
      <c r="AH362" s="1"/>
      <c r="AI362" s="1"/>
      <c r="AJ362" s="1"/>
      <c r="AK362" s="1"/>
      <c r="AL362" s="1"/>
    </row>
    <row r="363" spans="1:38">
      <c r="A363" s="1"/>
      <c r="B363" s="358"/>
      <c r="C363" s="1"/>
      <c r="D363" s="1"/>
      <c r="E363" s="1" t="s">
        <v>1011</v>
      </c>
      <c r="F363" s="283" t="s">
        <v>630</v>
      </c>
      <c r="G363" s="1"/>
      <c r="H363" s="1"/>
      <c r="I363" s="283"/>
      <c r="J363" s="283"/>
      <c r="K363" s="283"/>
      <c r="L363" s="283"/>
      <c r="M363" s="283"/>
      <c r="N363" s="283"/>
      <c r="O363" s="283"/>
      <c r="P363" s="283"/>
      <c r="Q363" s="283"/>
      <c r="R363" s="283"/>
      <c r="S363" s="283"/>
      <c r="T363" s="1"/>
      <c r="U363" s="1"/>
      <c r="V363" s="1"/>
      <c r="W363" s="1"/>
      <c r="X363" s="1"/>
      <c r="Y363" s="1"/>
      <c r="Z363" s="1"/>
      <c r="AA363" s="1"/>
      <c r="AB363" s="1"/>
      <c r="AC363" s="1"/>
      <c r="AD363" s="1"/>
      <c r="AE363" s="1"/>
      <c r="AF363" s="1"/>
      <c r="AG363" s="1"/>
      <c r="AH363" s="1"/>
      <c r="AI363" s="1"/>
      <c r="AJ363" s="1"/>
      <c r="AK363" s="1"/>
      <c r="AL363" s="1"/>
    </row>
    <row r="364" spans="1:38">
      <c r="A364" s="1"/>
      <c r="B364" s="358"/>
      <c r="C364" s="1"/>
      <c r="D364" s="1"/>
      <c r="E364" s="1"/>
      <c r="F364" s="283" t="s">
        <v>631</v>
      </c>
      <c r="G364" s="1"/>
      <c r="H364" s="1"/>
      <c r="I364" s="1"/>
      <c r="J364" s="283"/>
      <c r="K364" s="283"/>
      <c r="L364" s="283"/>
      <c r="M364" s="283"/>
      <c r="N364" s="283"/>
      <c r="O364" s="283"/>
      <c r="P364" s="283"/>
      <c r="Q364" s="283"/>
      <c r="R364" s="283"/>
      <c r="S364" s="283"/>
      <c r="T364" s="1"/>
      <c r="U364" s="1"/>
      <c r="V364" s="1"/>
      <c r="W364" s="1"/>
      <c r="X364" s="1"/>
      <c r="Y364" s="1"/>
      <c r="Z364" s="1"/>
      <c r="AA364" s="1"/>
      <c r="AB364" s="1"/>
      <c r="AC364" s="1"/>
      <c r="AD364" s="1"/>
      <c r="AE364" s="1"/>
      <c r="AF364" s="1"/>
      <c r="AG364" s="1"/>
      <c r="AH364" s="1"/>
      <c r="AI364" s="1"/>
      <c r="AJ364" s="1"/>
      <c r="AK364" s="1"/>
      <c r="AL364" s="1"/>
    </row>
    <row r="365" spans="1:38" s="1521" customFormat="1">
      <c r="A365" s="1"/>
      <c r="B365" s="358"/>
      <c r="C365" s="1"/>
      <c r="D365" s="1"/>
      <c r="E365" s="1521" t="s">
        <v>2058</v>
      </c>
    </row>
    <row r="366" spans="1:38" s="1521" customFormat="1">
      <c r="A366" s="1"/>
      <c r="B366" s="358"/>
      <c r="C366" s="1"/>
      <c r="D366" s="1"/>
    </row>
    <row r="367" spans="1:38">
      <c r="A367" s="1"/>
      <c r="B367" s="358"/>
      <c r="C367" s="1"/>
      <c r="D367" s="1"/>
      <c r="E367" s="1"/>
      <c r="F367" s="1519" t="s">
        <v>2059</v>
      </c>
      <c r="G367" s="1520"/>
      <c r="H367" s="1520"/>
      <c r="I367" s="1520"/>
      <c r="J367" s="1520"/>
      <c r="K367" s="1520"/>
      <c r="L367" s="1520"/>
      <c r="M367" s="1520"/>
      <c r="N367" s="1520"/>
      <c r="O367" s="1520"/>
      <c r="P367" s="1520"/>
      <c r="Q367" s="1520"/>
      <c r="R367" s="1520"/>
      <c r="S367" s="1520"/>
      <c r="T367" s="1520"/>
      <c r="U367" s="1520"/>
      <c r="V367" s="1520"/>
      <c r="W367" s="1520"/>
      <c r="X367" s="1520"/>
      <c r="Y367" s="1520"/>
      <c r="Z367" s="1520"/>
      <c r="AA367" s="1520"/>
      <c r="AB367" s="1520"/>
      <c r="AC367" s="1520"/>
      <c r="AD367" s="1520"/>
      <c r="AE367" s="1520"/>
      <c r="AF367" s="1520"/>
      <c r="AG367" s="1520"/>
      <c r="AH367" s="1520"/>
      <c r="AI367" s="1520"/>
      <c r="AJ367" s="1520"/>
      <c r="AK367" s="1520"/>
      <c r="AL367" s="1520"/>
    </row>
    <row r="368" spans="1:38">
      <c r="A368" s="1"/>
      <c r="B368" s="358"/>
      <c r="C368" s="1"/>
      <c r="D368" s="1"/>
      <c r="E368" s="1"/>
      <c r="F368" s="1520"/>
      <c r="G368" s="1520"/>
      <c r="H368" s="1520"/>
      <c r="I368" s="1520"/>
      <c r="J368" s="1520"/>
      <c r="K368" s="1520"/>
      <c r="L368" s="1520"/>
      <c r="M368" s="1520"/>
      <c r="N368" s="1520"/>
      <c r="O368" s="1520"/>
      <c r="P368" s="1520"/>
      <c r="Q368" s="1520"/>
      <c r="R368" s="1520"/>
      <c r="S368" s="1520"/>
      <c r="T368" s="1520"/>
      <c r="U368" s="1520"/>
      <c r="V368" s="1520"/>
      <c r="W368" s="1520"/>
      <c r="X368" s="1520"/>
      <c r="Y368" s="1520"/>
      <c r="Z368" s="1520"/>
      <c r="AA368" s="1520"/>
      <c r="AB368" s="1520"/>
      <c r="AC368" s="1520"/>
      <c r="AD368" s="1520"/>
      <c r="AE368" s="1520"/>
      <c r="AF368" s="1520"/>
      <c r="AG368" s="1520"/>
      <c r="AH368" s="1520"/>
      <c r="AI368" s="1520"/>
      <c r="AJ368" s="1520"/>
      <c r="AK368" s="1520"/>
      <c r="AL368" s="1520"/>
    </row>
    <row r="369" spans="1:38">
      <c r="A369" s="1"/>
      <c r="B369" s="358"/>
      <c r="C369" s="1"/>
      <c r="D369" s="1"/>
      <c r="E369" s="283"/>
      <c r="F369" s="283"/>
      <c r="G369" s="283"/>
      <c r="H369" s="283"/>
      <c r="I369" s="283"/>
      <c r="J369" s="283"/>
      <c r="K369" s="283"/>
      <c r="L369" s="283"/>
      <c r="M369" s="283"/>
      <c r="N369" s="283"/>
      <c r="O369" s="283"/>
      <c r="P369" s="283"/>
      <c r="Q369" s="283"/>
      <c r="R369" s="283"/>
      <c r="S369" s="283"/>
      <c r="T369" s="1"/>
      <c r="U369" s="1"/>
      <c r="V369" s="1"/>
      <c r="W369" s="1"/>
      <c r="X369" s="1"/>
      <c r="Y369" s="1"/>
      <c r="Z369" s="1"/>
      <c r="AA369" s="1"/>
      <c r="AB369" s="1"/>
      <c r="AC369" s="1"/>
      <c r="AD369" s="1"/>
      <c r="AE369" s="1"/>
      <c r="AF369" s="1"/>
      <c r="AG369" s="1"/>
      <c r="AH369" s="1"/>
      <c r="AI369" s="1"/>
      <c r="AJ369" s="1"/>
      <c r="AK369" s="1"/>
      <c r="AL369" s="1"/>
    </row>
    <row r="370" spans="1:38">
      <c r="A370" s="1"/>
      <c r="B370" s="358"/>
      <c r="C370" s="1"/>
      <c r="D370" s="358" t="s">
        <v>514</v>
      </c>
      <c r="E370" s="358" t="s">
        <v>230</v>
      </c>
      <c r="F370" s="1"/>
      <c r="G370" s="1"/>
      <c r="H370" s="1"/>
      <c r="I370" s="1"/>
      <c r="J370" s="283"/>
      <c r="K370" s="283"/>
      <c r="L370" s="283"/>
      <c r="M370" s="283"/>
      <c r="N370" s="283"/>
      <c r="O370" s="283"/>
      <c r="P370" s="283"/>
      <c r="Q370" s="283"/>
      <c r="R370" s="283"/>
      <c r="S370" s="283"/>
      <c r="T370" s="1"/>
      <c r="U370" s="1"/>
      <c r="V370" s="1"/>
      <c r="W370" s="1"/>
      <c r="X370" s="1"/>
      <c r="Y370" s="1"/>
      <c r="Z370" s="1"/>
      <c r="AA370" s="1"/>
      <c r="AB370" s="1"/>
      <c r="AC370" s="1"/>
      <c r="AD370" s="1"/>
      <c r="AE370" s="1"/>
      <c r="AF370" s="1"/>
      <c r="AG370" s="1"/>
      <c r="AH370" s="1"/>
      <c r="AI370" s="1"/>
      <c r="AJ370" s="1"/>
      <c r="AK370" s="1"/>
      <c r="AL370" s="1"/>
    </row>
    <row r="371" spans="1:38">
      <c r="A371" s="1"/>
      <c r="B371" s="358"/>
      <c r="C371" s="1"/>
      <c r="D371" s="1"/>
      <c r="E371" s="283" t="s">
        <v>611</v>
      </c>
      <c r="F371" s="283"/>
      <c r="G371" s="283"/>
      <c r="H371" s="283"/>
      <c r="I371" s="283"/>
      <c r="J371" s="283"/>
      <c r="K371" s="283"/>
      <c r="L371" s="283"/>
      <c r="M371" s="283"/>
      <c r="N371" s="283"/>
      <c r="O371" s="283"/>
      <c r="P371" s="283"/>
      <c r="Q371" s="283"/>
      <c r="R371" s="283"/>
      <c r="S371" s="283"/>
      <c r="T371" s="1"/>
      <c r="U371" s="1"/>
      <c r="V371" s="1"/>
      <c r="W371" s="1"/>
      <c r="X371" s="1"/>
      <c r="Y371" s="1"/>
      <c r="Z371" s="1"/>
      <c r="AA371" s="1"/>
      <c r="AB371" s="1"/>
      <c r="AC371" s="1"/>
      <c r="AD371" s="1"/>
      <c r="AE371" s="1"/>
      <c r="AF371" s="1"/>
      <c r="AG371" s="1"/>
      <c r="AH371" s="1"/>
      <c r="AI371" s="1"/>
      <c r="AJ371" s="1"/>
      <c r="AK371" s="1"/>
      <c r="AL371" s="1"/>
    </row>
    <row r="372" spans="1:38">
      <c r="A372" s="1"/>
      <c r="B372" s="358"/>
      <c r="C372" s="1"/>
      <c r="D372" s="1"/>
      <c r="E372" s="283" t="s">
        <v>612</v>
      </c>
      <c r="F372" s="283"/>
      <c r="G372" s="283"/>
      <c r="H372" s="283"/>
      <c r="I372" s="283"/>
      <c r="J372" s="283"/>
      <c r="K372" s="283"/>
      <c r="L372" s="283"/>
      <c r="M372" s="283"/>
      <c r="N372" s="283"/>
      <c r="O372" s="283"/>
      <c r="P372" s="283"/>
      <c r="Q372" s="283"/>
      <c r="R372" s="283"/>
      <c r="S372" s="283"/>
      <c r="T372" s="1"/>
      <c r="U372" s="1"/>
      <c r="V372" s="1"/>
      <c r="W372" s="1"/>
      <c r="X372" s="1"/>
      <c r="Y372" s="1"/>
      <c r="Z372" s="1"/>
      <c r="AA372" s="1"/>
      <c r="AB372" s="1"/>
      <c r="AC372" s="1"/>
      <c r="AD372" s="1"/>
      <c r="AE372" s="1"/>
      <c r="AF372" s="1"/>
      <c r="AG372" s="1"/>
      <c r="AH372" s="1"/>
      <c r="AI372" s="1"/>
      <c r="AJ372" s="1"/>
      <c r="AK372" s="1"/>
      <c r="AL372" s="1"/>
    </row>
    <row r="373" spans="1:38">
      <c r="A373" s="1"/>
      <c r="B373" s="358"/>
      <c r="C373" s="1"/>
      <c r="D373" s="1"/>
      <c r="E373" s="283"/>
      <c r="F373" s="283"/>
      <c r="G373" s="283"/>
      <c r="H373" s="283"/>
      <c r="I373" s="283"/>
      <c r="J373" s="283"/>
      <c r="K373" s="283"/>
      <c r="L373" s="283"/>
      <c r="M373" s="283"/>
      <c r="N373" s="283"/>
      <c r="O373" s="283"/>
      <c r="P373" s="283"/>
      <c r="Q373" s="283"/>
      <c r="R373" s="283"/>
      <c r="S373" s="283"/>
      <c r="T373" s="1"/>
      <c r="U373" s="1"/>
      <c r="V373" s="1"/>
      <c r="W373" s="1"/>
      <c r="X373" s="1"/>
      <c r="Y373" s="1"/>
      <c r="Z373" s="1"/>
      <c r="AA373" s="1"/>
      <c r="AB373" s="1"/>
      <c r="AC373" s="1"/>
      <c r="AD373" s="1"/>
      <c r="AE373" s="1"/>
      <c r="AF373" s="1"/>
      <c r="AG373" s="1"/>
      <c r="AH373" s="1"/>
      <c r="AI373" s="1"/>
      <c r="AJ373" s="1"/>
      <c r="AK373" s="1"/>
      <c r="AL373" s="1"/>
    </row>
    <row r="374" spans="1:38">
      <c r="A374" s="1"/>
      <c r="B374" s="358"/>
      <c r="C374" s="1"/>
      <c r="D374" s="358" t="s">
        <v>932</v>
      </c>
      <c r="E374" s="358" t="s">
        <v>281</v>
      </c>
      <c r="F374" s="1"/>
      <c r="G374" s="1"/>
      <c r="H374" s="1"/>
      <c r="I374" s="1"/>
      <c r="J374" s="283"/>
      <c r="K374" s="283"/>
      <c r="L374" s="283"/>
      <c r="M374" s="283"/>
      <c r="N374" s="283"/>
      <c r="O374" s="283"/>
      <c r="P374" s="283"/>
      <c r="Q374" s="283"/>
      <c r="R374" s="283"/>
      <c r="S374" s="283"/>
      <c r="T374" s="1"/>
      <c r="U374" s="1"/>
      <c r="V374" s="1"/>
      <c r="W374" s="1"/>
      <c r="X374" s="1"/>
      <c r="Y374" s="1"/>
      <c r="Z374" s="1"/>
      <c r="AA374" s="1"/>
      <c r="AB374" s="1"/>
      <c r="AC374" s="1"/>
      <c r="AD374" s="1"/>
      <c r="AE374" s="1"/>
      <c r="AF374" s="1"/>
      <c r="AG374" s="1"/>
      <c r="AH374" s="1"/>
      <c r="AI374" s="1"/>
      <c r="AJ374" s="1"/>
      <c r="AK374" s="1"/>
      <c r="AL374" s="1"/>
    </row>
    <row r="375" spans="1:38">
      <c r="A375" s="1"/>
      <c r="B375" s="358"/>
      <c r="C375" s="1"/>
      <c r="D375" s="1"/>
      <c r="E375" s="283" t="s">
        <v>1004</v>
      </c>
      <c r="F375" s="283" t="s">
        <v>831</v>
      </c>
      <c r="G375" s="283"/>
      <c r="H375" s="1"/>
      <c r="I375" s="283"/>
      <c r="J375" s="283"/>
      <c r="K375" s="283"/>
      <c r="L375" s="283"/>
      <c r="M375" s="283"/>
      <c r="N375" s="283"/>
      <c r="O375" s="283"/>
      <c r="P375" s="283"/>
      <c r="Q375" s="283"/>
      <c r="R375" s="283"/>
      <c r="S375" s="283"/>
      <c r="T375" s="1"/>
      <c r="U375" s="1"/>
      <c r="V375" s="1"/>
      <c r="W375" s="1"/>
      <c r="X375" s="1"/>
      <c r="Y375" s="1"/>
      <c r="Z375" s="1"/>
      <c r="AA375" s="1"/>
      <c r="AB375" s="1"/>
      <c r="AC375" s="1"/>
      <c r="AD375" s="1"/>
      <c r="AE375" s="1"/>
      <c r="AF375" s="1"/>
      <c r="AG375" s="1"/>
      <c r="AH375" s="1"/>
      <c r="AI375" s="1"/>
      <c r="AJ375" s="1"/>
      <c r="AK375" s="1"/>
      <c r="AL375" s="1"/>
    </row>
    <row r="376" spans="1:38">
      <c r="A376" s="272"/>
      <c r="B376" s="359"/>
      <c r="C376" s="272"/>
      <c r="D376" s="272"/>
      <c r="E376" s="288"/>
      <c r="F376" s="1069" t="s">
        <v>1797</v>
      </c>
      <c r="G376" s="288"/>
      <c r="H376" s="272"/>
      <c r="I376" s="1069"/>
      <c r="J376" s="288"/>
      <c r="K376" s="288"/>
      <c r="L376" s="288"/>
      <c r="M376" s="288"/>
      <c r="N376" s="288"/>
      <c r="O376" s="288"/>
      <c r="P376" s="288"/>
      <c r="Q376" s="288"/>
      <c r="R376" s="288"/>
      <c r="S376" s="288"/>
      <c r="T376" s="272"/>
      <c r="U376" s="272"/>
      <c r="V376" s="272"/>
      <c r="W376" s="272"/>
      <c r="X376" s="272"/>
      <c r="Y376" s="272"/>
      <c r="Z376" s="272"/>
      <c r="AA376" s="272"/>
      <c r="AB376" s="272"/>
      <c r="AC376" s="272"/>
      <c r="AD376" s="272"/>
      <c r="AE376" s="272"/>
      <c r="AF376" s="272"/>
      <c r="AG376" s="272"/>
      <c r="AH376" s="272"/>
      <c r="AI376" s="272"/>
      <c r="AJ376" s="272"/>
      <c r="AK376" s="272"/>
      <c r="AL376" s="272"/>
    </row>
    <row r="377" spans="1:38">
      <c r="A377" s="272"/>
      <c r="B377" s="359"/>
      <c r="C377" s="272"/>
      <c r="D377" s="272"/>
      <c r="E377" s="288" t="s">
        <v>1005</v>
      </c>
      <c r="F377" s="288" t="s">
        <v>832</v>
      </c>
      <c r="G377" s="288"/>
      <c r="H377" s="272"/>
      <c r="I377" s="1069"/>
      <c r="J377" s="288"/>
      <c r="K377" s="288"/>
      <c r="L377" s="288"/>
      <c r="M377" s="288"/>
      <c r="N377" s="288"/>
      <c r="O377" s="288"/>
      <c r="P377" s="288"/>
      <c r="Q377" s="288"/>
      <c r="R377" s="288"/>
      <c r="S377" s="288"/>
      <c r="T377" s="272"/>
      <c r="U377" s="272"/>
      <c r="V377" s="272"/>
      <c r="W377" s="272"/>
      <c r="X377" s="272"/>
      <c r="Y377" s="272"/>
      <c r="Z377" s="272"/>
      <c r="AA377" s="272"/>
      <c r="AB377" s="272"/>
      <c r="AC377" s="272"/>
      <c r="AD377" s="272"/>
      <c r="AE377" s="272"/>
      <c r="AF377" s="272"/>
      <c r="AG377" s="272"/>
      <c r="AH377" s="272"/>
      <c r="AI377" s="272"/>
      <c r="AJ377" s="272"/>
      <c r="AK377" s="272"/>
      <c r="AL377" s="272"/>
    </row>
    <row r="378" spans="1:38">
      <c r="A378" s="272"/>
      <c r="B378" s="359"/>
      <c r="C378" s="272"/>
      <c r="D378" s="272"/>
      <c r="E378" s="288"/>
      <c r="F378" s="288" t="s">
        <v>833</v>
      </c>
      <c r="G378" s="288"/>
      <c r="H378" s="272"/>
      <c r="I378" s="1085"/>
      <c r="J378" s="288"/>
      <c r="K378" s="288"/>
      <c r="L378" s="288"/>
      <c r="M378" s="288"/>
      <c r="N378" s="288"/>
      <c r="O378" s="288"/>
      <c r="P378" s="288"/>
      <c r="Q378" s="288"/>
      <c r="R378" s="288"/>
      <c r="S378" s="288"/>
      <c r="T378" s="272"/>
      <c r="U378" s="272"/>
      <c r="V378" s="272"/>
      <c r="W378" s="272"/>
      <c r="X378" s="272"/>
      <c r="Y378" s="272"/>
      <c r="Z378" s="272"/>
      <c r="AA378" s="272"/>
      <c r="AB378" s="272"/>
      <c r="AC378" s="272"/>
      <c r="AD378" s="272"/>
      <c r="AE378" s="272"/>
      <c r="AF378" s="272"/>
      <c r="AG378" s="272"/>
      <c r="AH378" s="272"/>
      <c r="AI378" s="272"/>
      <c r="AJ378" s="272"/>
      <c r="AK378" s="272"/>
      <c r="AL378" s="272"/>
    </row>
    <row r="379" spans="1:38">
      <c r="A379" s="272"/>
      <c r="B379" s="359"/>
      <c r="C379" s="272"/>
      <c r="D379" s="272"/>
      <c r="E379" s="288"/>
      <c r="F379" s="288" t="s">
        <v>1146</v>
      </c>
      <c r="G379" s="288"/>
      <c r="H379" s="272"/>
      <c r="I379" s="1085"/>
      <c r="J379" s="288"/>
      <c r="K379" s="288"/>
      <c r="L379" s="288"/>
      <c r="M379" s="288"/>
      <c r="N379" s="288"/>
      <c r="O379" s="288"/>
      <c r="P379" s="288"/>
      <c r="Q379" s="288"/>
      <c r="R379" s="288"/>
      <c r="S379" s="288"/>
      <c r="T379" s="272"/>
      <c r="U379" s="272"/>
      <c r="V379" s="272"/>
      <c r="W379" s="272"/>
      <c r="X379" s="272"/>
      <c r="Y379" s="272"/>
      <c r="Z379" s="272"/>
      <c r="AA379" s="272"/>
      <c r="AB379" s="272"/>
      <c r="AC379" s="272"/>
      <c r="AD379" s="272"/>
      <c r="AE379" s="272"/>
      <c r="AF379" s="272"/>
      <c r="AG379" s="272"/>
      <c r="AH379" s="272"/>
      <c r="AI379" s="272"/>
      <c r="AJ379" s="272"/>
      <c r="AK379" s="272"/>
      <c r="AL379" s="272"/>
    </row>
    <row r="380" spans="1:38">
      <c r="A380" s="272"/>
      <c r="B380" s="359"/>
      <c r="C380" s="272"/>
      <c r="D380" s="272"/>
      <c r="E380" s="288"/>
      <c r="F380" s="288"/>
      <c r="G380" s="288"/>
      <c r="H380" s="272"/>
      <c r="I380" s="1069"/>
      <c r="J380" s="288"/>
      <c r="K380" s="288"/>
      <c r="L380" s="288"/>
      <c r="M380" s="288"/>
      <c r="N380" s="288"/>
      <c r="O380" s="288"/>
      <c r="P380" s="288"/>
      <c r="Q380" s="288"/>
      <c r="R380" s="288"/>
      <c r="S380" s="288"/>
      <c r="T380" s="272"/>
      <c r="U380" s="272"/>
      <c r="V380" s="272"/>
      <c r="W380" s="272"/>
      <c r="X380" s="272"/>
      <c r="Y380" s="272"/>
      <c r="Z380" s="272"/>
      <c r="AA380" s="272"/>
      <c r="AB380" s="272"/>
      <c r="AC380" s="272"/>
      <c r="AD380" s="272"/>
      <c r="AE380" s="272"/>
      <c r="AF380" s="272"/>
      <c r="AG380" s="272"/>
      <c r="AH380" s="272"/>
      <c r="AI380" s="272"/>
      <c r="AJ380" s="272"/>
      <c r="AK380" s="272"/>
      <c r="AL380" s="272"/>
    </row>
    <row r="381" spans="1:38">
      <c r="A381" s="1"/>
      <c r="B381" s="358"/>
      <c r="C381" s="1"/>
      <c r="D381" s="358" t="s">
        <v>821</v>
      </c>
      <c r="E381" s="358" t="s">
        <v>567</v>
      </c>
      <c r="F381" s="1"/>
      <c r="G381" s="1"/>
      <c r="H381" s="1"/>
      <c r="I381" s="1"/>
      <c r="J381" s="283"/>
      <c r="K381" s="283"/>
      <c r="L381" s="283"/>
      <c r="M381" s="283"/>
      <c r="N381" s="283"/>
      <c r="O381" s="283"/>
      <c r="P381" s="283"/>
      <c r="Q381" s="283"/>
      <c r="R381" s="283"/>
      <c r="S381" s="283"/>
      <c r="T381" s="1"/>
      <c r="U381" s="1"/>
      <c r="V381" s="1"/>
      <c r="W381" s="1"/>
      <c r="X381" s="1"/>
      <c r="Y381" s="1"/>
      <c r="Z381" s="1"/>
      <c r="AA381" s="1"/>
      <c r="AB381" s="1"/>
      <c r="AC381" s="1"/>
      <c r="AD381" s="1"/>
      <c r="AE381" s="1"/>
      <c r="AF381" s="1"/>
      <c r="AG381" s="1"/>
      <c r="AH381" s="1"/>
      <c r="AI381" s="1"/>
      <c r="AJ381" s="1"/>
      <c r="AK381" s="1"/>
      <c r="AL381" s="1"/>
    </row>
    <row r="382" spans="1:38">
      <c r="A382" s="1"/>
      <c r="B382" s="358"/>
      <c r="C382" s="1"/>
      <c r="D382" s="358"/>
      <c r="E382" s="283" t="s">
        <v>1109</v>
      </c>
      <c r="F382" s="283"/>
      <c r="G382" s="283"/>
      <c r="H382" s="1"/>
      <c r="I382" s="1"/>
      <c r="J382" s="283"/>
      <c r="K382" s="283"/>
      <c r="L382" s="283"/>
      <c r="M382" s="283"/>
      <c r="N382" s="283"/>
      <c r="O382" s="283"/>
      <c r="P382" s="283"/>
      <c r="Q382" s="283"/>
      <c r="R382" s="283"/>
      <c r="S382" s="283"/>
      <c r="T382" s="1"/>
      <c r="U382" s="1"/>
      <c r="V382" s="1"/>
      <c r="W382" s="1"/>
      <c r="X382" s="1"/>
      <c r="Y382" s="1"/>
      <c r="Z382" s="1"/>
      <c r="AA382" s="1"/>
      <c r="AB382" s="1"/>
      <c r="AC382" s="1"/>
      <c r="AD382" s="1"/>
      <c r="AE382" s="1"/>
      <c r="AF382" s="1"/>
      <c r="AG382" s="1"/>
      <c r="AH382" s="1"/>
      <c r="AI382" s="1"/>
      <c r="AJ382" s="1"/>
      <c r="AK382" s="1"/>
      <c r="AL382" s="1"/>
    </row>
    <row r="383" spans="1:38">
      <c r="A383" s="1"/>
      <c r="B383" s="358"/>
      <c r="C383" s="1"/>
      <c r="D383" s="358"/>
      <c r="E383" s="283" t="s">
        <v>613</v>
      </c>
      <c r="F383" s="283"/>
      <c r="G383" s="283"/>
      <c r="H383" s="1"/>
      <c r="I383" s="1"/>
      <c r="J383" s="283"/>
      <c r="K383" s="283"/>
      <c r="L383" s="283"/>
      <c r="M383" s="283"/>
      <c r="N383" s="283"/>
      <c r="O383" s="283"/>
      <c r="P383" s="283"/>
      <c r="Q383" s="283"/>
      <c r="R383" s="283"/>
      <c r="S383" s="283"/>
      <c r="T383" s="1"/>
      <c r="U383" s="1"/>
      <c r="V383" s="1"/>
      <c r="W383" s="1"/>
      <c r="X383" s="1"/>
      <c r="Y383" s="1"/>
      <c r="Z383" s="1"/>
      <c r="AA383" s="1"/>
      <c r="AB383" s="1"/>
      <c r="AC383" s="1"/>
      <c r="AD383" s="1"/>
      <c r="AE383" s="1"/>
      <c r="AF383" s="1"/>
      <c r="AG383" s="1"/>
      <c r="AH383" s="1"/>
      <c r="AI383" s="1"/>
      <c r="AJ383" s="1"/>
      <c r="AK383" s="1"/>
      <c r="AL383" s="1"/>
    </row>
    <row r="384" spans="1:38">
      <c r="A384" s="1"/>
      <c r="B384" s="358"/>
      <c r="C384" s="1"/>
      <c r="D384" s="358"/>
      <c r="E384" s="283"/>
      <c r="F384" s="283"/>
      <c r="G384" s="283"/>
      <c r="H384" s="1"/>
      <c r="I384" s="1"/>
      <c r="J384" s="283"/>
      <c r="K384" s="283"/>
      <c r="L384" s="283"/>
      <c r="M384" s="283"/>
      <c r="N384" s="283"/>
      <c r="O384" s="283"/>
      <c r="P384" s="283"/>
      <c r="Q384" s="283"/>
      <c r="R384" s="283"/>
      <c r="S384" s="283"/>
      <c r="T384" s="1"/>
      <c r="U384" s="1"/>
      <c r="V384" s="1"/>
      <c r="W384" s="1"/>
      <c r="X384" s="1"/>
      <c r="Y384" s="1"/>
      <c r="Z384" s="1"/>
      <c r="AA384" s="1"/>
      <c r="AB384" s="1"/>
      <c r="AC384" s="1"/>
      <c r="AD384" s="1"/>
      <c r="AE384" s="1"/>
      <c r="AF384" s="1"/>
      <c r="AG384" s="1"/>
      <c r="AH384" s="1"/>
      <c r="AI384" s="1"/>
      <c r="AJ384" s="1"/>
      <c r="AK384" s="1"/>
      <c r="AL384" s="1"/>
    </row>
    <row r="385" spans="1:38">
      <c r="A385" s="1"/>
      <c r="B385" s="358"/>
      <c r="C385" s="1"/>
      <c r="D385" s="358" t="s">
        <v>553</v>
      </c>
      <c r="E385" s="358" t="s">
        <v>283</v>
      </c>
      <c r="F385" s="1"/>
      <c r="G385" s="1"/>
      <c r="H385" s="1"/>
      <c r="I385" s="1"/>
      <c r="J385" s="283"/>
      <c r="K385" s="283"/>
      <c r="L385" s="283"/>
      <c r="M385" s="283"/>
      <c r="N385" s="283"/>
      <c r="O385" s="283"/>
      <c r="P385" s="283"/>
      <c r="Q385" s="283"/>
      <c r="R385" s="283"/>
      <c r="S385" s="283"/>
      <c r="T385" s="1"/>
      <c r="U385" s="1"/>
      <c r="V385" s="1"/>
      <c r="W385" s="1"/>
      <c r="X385" s="1"/>
      <c r="Y385" s="1"/>
      <c r="Z385" s="1"/>
      <c r="AA385" s="1"/>
      <c r="AB385" s="1"/>
      <c r="AC385" s="1"/>
      <c r="AD385" s="1"/>
      <c r="AE385" s="1"/>
      <c r="AF385" s="1"/>
      <c r="AG385" s="1"/>
      <c r="AH385" s="1"/>
      <c r="AI385" s="1"/>
      <c r="AJ385" s="1"/>
      <c r="AK385" s="1"/>
      <c r="AL385" s="1"/>
    </row>
    <row r="386" spans="1:38">
      <c r="A386" s="1"/>
      <c r="B386" s="358"/>
      <c r="C386" s="1"/>
      <c r="D386" s="1"/>
      <c r="E386" s="283" t="s">
        <v>1004</v>
      </c>
      <c r="F386" s="283" t="s">
        <v>834</v>
      </c>
      <c r="G386" s="283"/>
      <c r="H386" s="1"/>
      <c r="I386" s="283"/>
      <c r="J386" s="283"/>
      <c r="K386" s="283"/>
      <c r="L386" s="283"/>
      <c r="M386" s="283"/>
      <c r="N386" s="283"/>
      <c r="O386" s="283"/>
      <c r="P386" s="283"/>
      <c r="Q386" s="283"/>
      <c r="R386" s="283"/>
      <c r="S386" s="283"/>
      <c r="T386" s="1"/>
      <c r="U386" s="1"/>
      <c r="V386" s="1"/>
      <c r="W386" s="1"/>
      <c r="X386" s="1"/>
      <c r="Y386" s="1"/>
      <c r="Z386" s="1"/>
      <c r="AA386" s="1"/>
      <c r="AB386" s="1"/>
      <c r="AC386" s="1"/>
      <c r="AD386" s="1"/>
      <c r="AE386" s="1"/>
      <c r="AF386" s="1"/>
      <c r="AG386" s="1"/>
      <c r="AH386" s="1"/>
      <c r="AI386" s="1"/>
      <c r="AJ386" s="1"/>
      <c r="AK386" s="1"/>
      <c r="AL386" s="1"/>
    </row>
    <row r="387" spans="1:38">
      <c r="A387" s="1"/>
      <c r="B387" s="358"/>
      <c r="C387" s="1"/>
      <c r="D387" s="1"/>
      <c r="E387" s="283"/>
      <c r="F387" s="1069" t="s">
        <v>1797</v>
      </c>
      <c r="G387" s="283"/>
      <c r="H387" s="1"/>
      <c r="I387" s="1069"/>
      <c r="J387" s="283"/>
      <c r="K387" s="283"/>
      <c r="L387" s="283"/>
      <c r="M387" s="283"/>
      <c r="N387" s="283"/>
      <c r="O387" s="283"/>
      <c r="P387" s="283"/>
      <c r="Q387" s="283"/>
      <c r="R387" s="283"/>
      <c r="S387" s="283"/>
      <c r="T387" s="1"/>
      <c r="U387" s="1"/>
      <c r="V387" s="1"/>
      <c r="W387" s="1"/>
      <c r="X387" s="1"/>
      <c r="Y387" s="1"/>
      <c r="Z387" s="1"/>
      <c r="AA387" s="1"/>
      <c r="AB387" s="1"/>
      <c r="AC387" s="1"/>
      <c r="AD387" s="1"/>
      <c r="AE387" s="1"/>
      <c r="AF387" s="1"/>
      <c r="AG387" s="1"/>
      <c r="AH387" s="1"/>
      <c r="AI387" s="1"/>
      <c r="AJ387" s="1"/>
      <c r="AK387" s="1"/>
      <c r="AL387" s="1"/>
    </row>
    <row r="388" spans="1:38">
      <c r="A388" s="272"/>
      <c r="B388" s="359"/>
      <c r="C388" s="272"/>
      <c r="D388" s="272"/>
      <c r="E388" s="288" t="s">
        <v>1005</v>
      </c>
      <c r="F388" s="288" t="s">
        <v>835</v>
      </c>
      <c r="G388" s="288"/>
      <c r="H388" s="272"/>
      <c r="I388" s="1069"/>
      <c r="J388" s="288"/>
      <c r="K388" s="288"/>
      <c r="L388" s="288"/>
      <c r="M388" s="288"/>
      <c r="N388" s="288"/>
      <c r="O388" s="288"/>
      <c r="P388" s="288"/>
      <c r="Q388" s="288"/>
      <c r="R388" s="288"/>
      <c r="S388" s="288"/>
      <c r="T388" s="272"/>
      <c r="U388" s="272"/>
      <c r="V388" s="272"/>
      <c r="W388" s="272"/>
      <c r="X388" s="272"/>
      <c r="Y388" s="272"/>
      <c r="Z388" s="272"/>
      <c r="AA388" s="272"/>
      <c r="AB388" s="272"/>
      <c r="AC388" s="272"/>
      <c r="AD388" s="272"/>
      <c r="AE388" s="272"/>
      <c r="AF388" s="272"/>
      <c r="AG388" s="272"/>
      <c r="AH388" s="272"/>
      <c r="AI388" s="272"/>
      <c r="AJ388" s="272"/>
      <c r="AK388" s="272"/>
      <c r="AL388" s="272"/>
    </row>
    <row r="389" spans="1:38">
      <c r="A389" s="272"/>
      <c r="B389" s="359"/>
      <c r="C389" s="272"/>
      <c r="D389" s="272"/>
      <c r="E389" s="288"/>
      <c r="F389" s="288" t="s">
        <v>836</v>
      </c>
      <c r="G389" s="288"/>
      <c r="H389" s="272"/>
      <c r="I389" s="1085"/>
      <c r="J389" s="288"/>
      <c r="K389" s="288"/>
      <c r="L389" s="288"/>
      <c r="M389" s="288"/>
      <c r="N389" s="288"/>
      <c r="O389" s="288"/>
      <c r="P389" s="288"/>
      <c r="Q389" s="288"/>
      <c r="R389" s="288"/>
      <c r="S389" s="288"/>
      <c r="T389" s="272"/>
      <c r="U389" s="272"/>
      <c r="V389" s="272"/>
      <c r="W389" s="272"/>
      <c r="X389" s="272"/>
      <c r="Y389" s="272"/>
      <c r="Z389" s="272"/>
      <c r="AA389" s="272"/>
      <c r="AB389" s="272"/>
      <c r="AC389" s="272"/>
      <c r="AD389" s="272"/>
      <c r="AE389" s="272"/>
      <c r="AF389" s="272"/>
      <c r="AG389" s="272"/>
      <c r="AH389" s="272"/>
      <c r="AI389" s="272"/>
      <c r="AJ389" s="272"/>
      <c r="AK389" s="272"/>
      <c r="AL389" s="272"/>
    </row>
    <row r="390" spans="1:38">
      <c r="A390" s="272"/>
      <c r="B390" s="359"/>
      <c r="C390" s="272"/>
      <c r="D390" s="272"/>
      <c r="E390" s="288"/>
      <c r="F390" s="288" t="s">
        <v>1147</v>
      </c>
      <c r="G390" s="288"/>
      <c r="H390" s="272"/>
      <c r="I390" s="1085"/>
      <c r="J390" s="288"/>
      <c r="K390" s="288"/>
      <c r="L390" s="288"/>
      <c r="M390" s="288"/>
      <c r="N390" s="288"/>
      <c r="O390" s="288"/>
      <c r="P390" s="288"/>
      <c r="Q390" s="288"/>
      <c r="R390" s="288"/>
      <c r="S390" s="288"/>
      <c r="T390" s="272"/>
      <c r="U390" s="272"/>
      <c r="V390" s="272"/>
      <c r="W390" s="272"/>
      <c r="X390" s="272"/>
      <c r="Y390" s="272"/>
      <c r="Z390" s="272"/>
      <c r="AA390" s="272"/>
      <c r="AB390" s="272"/>
      <c r="AC390" s="272"/>
      <c r="AD390" s="272"/>
      <c r="AE390" s="272"/>
      <c r="AF390" s="272"/>
      <c r="AG390" s="272"/>
      <c r="AH390" s="272"/>
      <c r="AI390" s="272"/>
      <c r="AJ390" s="272"/>
      <c r="AK390" s="272"/>
      <c r="AL390" s="272"/>
    </row>
    <row r="391" spans="1:38">
      <c r="A391" s="1"/>
      <c r="B391" s="358"/>
      <c r="C391" s="1"/>
      <c r="D391" s="1"/>
      <c r="E391" s="283"/>
      <c r="F391" s="283"/>
      <c r="G391" s="283"/>
      <c r="H391" s="283"/>
      <c r="I391" s="283"/>
      <c r="J391" s="283"/>
      <c r="K391" s="283"/>
      <c r="L391" s="283"/>
      <c r="M391" s="283"/>
      <c r="N391" s="283"/>
      <c r="O391" s="283"/>
      <c r="P391" s="283"/>
      <c r="Q391" s="283"/>
      <c r="R391" s="283"/>
      <c r="S391" s="283"/>
      <c r="T391" s="1"/>
      <c r="U391" s="1"/>
      <c r="V391" s="1"/>
      <c r="W391" s="1"/>
      <c r="X391" s="1"/>
      <c r="Y391" s="1"/>
      <c r="Z391" s="1"/>
      <c r="AA391" s="1"/>
      <c r="AB391" s="1"/>
      <c r="AC391" s="1"/>
      <c r="AD391" s="1"/>
      <c r="AE391" s="1"/>
      <c r="AF391" s="1"/>
      <c r="AG391" s="1"/>
      <c r="AH391" s="1"/>
      <c r="AI391" s="1"/>
      <c r="AJ391" s="1"/>
      <c r="AK391" s="1"/>
      <c r="AL391" s="1"/>
    </row>
    <row r="392" spans="1:38">
      <c r="A392" s="272"/>
      <c r="B392" s="359"/>
      <c r="C392" s="272"/>
      <c r="D392" s="272"/>
      <c r="E392" s="288"/>
      <c r="F392" s="1064"/>
      <c r="G392" s="1064"/>
      <c r="H392" s="1064"/>
      <c r="I392" s="1064"/>
      <c r="J392" s="1064"/>
      <c r="K392" s="1064"/>
      <c r="L392" s="1064"/>
      <c r="M392" s="1064"/>
      <c r="N392" s="1064"/>
      <c r="O392" s="1064"/>
      <c r="P392" s="1064"/>
      <c r="Q392" s="1064"/>
      <c r="R392" s="1064"/>
      <c r="S392" s="1064"/>
      <c r="T392" s="1064"/>
      <c r="U392" s="1064"/>
      <c r="V392" s="1064"/>
      <c r="W392" s="1064"/>
      <c r="X392" s="1064"/>
      <c r="Y392" s="1064"/>
      <c r="Z392" s="1064"/>
      <c r="AA392" s="1064"/>
      <c r="AB392" s="1064"/>
      <c r="AC392" s="1064"/>
      <c r="AD392" s="1064"/>
      <c r="AE392" s="1064"/>
      <c r="AF392" s="1064"/>
      <c r="AG392" s="1064"/>
      <c r="AH392" s="1064"/>
      <c r="AI392" s="1064"/>
      <c r="AJ392" s="1064"/>
      <c r="AK392" s="1064"/>
      <c r="AL392" s="272"/>
    </row>
    <row r="393" spans="1:38">
      <c r="A393" s="12"/>
      <c r="B393" s="1066" t="s">
        <v>823</v>
      </c>
      <c r="C393" s="1066" t="s">
        <v>936</v>
      </c>
      <c r="D393" s="12"/>
      <c r="E393" s="12"/>
      <c r="F393" s="356"/>
      <c r="G393" s="356"/>
      <c r="H393" s="356"/>
      <c r="I393" s="356"/>
      <c r="J393" s="356"/>
      <c r="K393" s="356"/>
      <c r="L393" s="356"/>
      <c r="M393" s="356"/>
      <c r="N393" s="356"/>
      <c r="O393" s="356"/>
      <c r="P393" s="356"/>
      <c r="Q393" s="356"/>
      <c r="R393" s="356"/>
      <c r="S393" s="356"/>
      <c r="T393" s="12"/>
      <c r="U393" s="12"/>
      <c r="V393" s="12"/>
      <c r="W393" s="12"/>
      <c r="X393" s="12"/>
      <c r="Y393" s="12"/>
      <c r="Z393" s="12"/>
      <c r="AA393" s="12"/>
      <c r="AB393" s="12"/>
      <c r="AC393" s="12"/>
      <c r="AD393" s="12"/>
      <c r="AE393" s="12"/>
      <c r="AF393" s="12"/>
      <c r="AG393" s="12"/>
      <c r="AH393" s="12"/>
      <c r="AI393" s="12"/>
      <c r="AJ393" s="12"/>
      <c r="AK393" s="12"/>
      <c r="AL393" s="12"/>
    </row>
    <row r="394" spans="1:38">
      <c r="A394" s="1"/>
      <c r="B394" s="358"/>
      <c r="C394" s="1"/>
      <c r="D394" s="358"/>
      <c r="E394" s="1"/>
      <c r="F394" s="283"/>
      <c r="G394" s="283"/>
      <c r="H394" s="283"/>
      <c r="I394" s="283"/>
      <c r="J394" s="283"/>
      <c r="K394" s="283"/>
      <c r="L394" s="283"/>
      <c r="M394" s="283"/>
      <c r="N394" s="283"/>
      <c r="O394" s="283"/>
      <c r="P394" s="283"/>
      <c r="Q394" s="283"/>
      <c r="R394" s="283"/>
      <c r="S394" s="283"/>
      <c r="T394" s="1"/>
      <c r="U394" s="1"/>
      <c r="V394" s="1"/>
      <c r="W394" s="1"/>
      <c r="X394" s="1"/>
      <c r="Y394" s="1"/>
      <c r="Z394" s="1"/>
      <c r="AA394" s="1"/>
      <c r="AB394" s="1"/>
      <c r="AC394" s="1"/>
      <c r="AD394" s="1"/>
      <c r="AE394" s="1"/>
      <c r="AF394" s="1"/>
      <c r="AG394" s="1"/>
      <c r="AH394" s="1"/>
      <c r="AI394" s="1"/>
      <c r="AJ394" s="1"/>
      <c r="AK394" s="1"/>
      <c r="AL394" s="1"/>
    </row>
    <row r="395" spans="1:38">
      <c r="A395" s="1"/>
      <c r="B395" s="358"/>
      <c r="C395" s="358" t="s">
        <v>305</v>
      </c>
      <c r="D395" s="1"/>
      <c r="E395" s="1"/>
      <c r="F395" s="1"/>
      <c r="G395" s="358" t="s">
        <v>936</v>
      </c>
      <c r="H395" s="1"/>
      <c r="I395" s="283"/>
      <c r="J395" s="283"/>
      <c r="K395" s="283"/>
      <c r="L395" s="283"/>
      <c r="M395" s="283"/>
      <c r="N395" s="283"/>
      <c r="O395" s="283"/>
      <c r="P395" s="283"/>
      <c r="Q395" s="283"/>
      <c r="R395" s="283"/>
      <c r="S395" s="283"/>
      <c r="T395" s="1"/>
      <c r="U395" s="1"/>
      <c r="V395" s="1"/>
      <c r="W395" s="1"/>
      <c r="X395" s="1"/>
      <c r="Y395" s="1"/>
      <c r="Z395" s="1"/>
      <c r="AA395" s="1"/>
      <c r="AB395" s="1"/>
      <c r="AC395" s="1"/>
      <c r="AD395" s="1"/>
      <c r="AE395" s="1"/>
      <c r="AF395" s="1"/>
      <c r="AG395" s="1"/>
      <c r="AH395" s="1"/>
      <c r="AI395" s="1"/>
      <c r="AJ395" s="1"/>
      <c r="AK395" s="1"/>
      <c r="AL395" s="1"/>
    </row>
    <row r="396" spans="1:38">
      <c r="A396" s="1"/>
      <c r="B396" s="358"/>
      <c r="C396" s="1"/>
      <c r="D396" s="283"/>
      <c r="E396" s="283" t="s">
        <v>1004</v>
      </c>
      <c r="F396" s="283" t="s">
        <v>279</v>
      </c>
      <c r="G396" s="283"/>
      <c r="H396" s="1"/>
      <c r="I396" s="283"/>
      <c r="J396" s="283"/>
      <c r="K396" s="283"/>
      <c r="L396" s="283"/>
      <c r="M396" s="283"/>
      <c r="N396" s="283"/>
      <c r="O396" s="283"/>
      <c r="P396" s="283"/>
      <c r="Q396" s="283"/>
      <c r="R396" s="283"/>
      <c r="S396" s="283"/>
      <c r="T396" s="1"/>
      <c r="U396" s="1"/>
      <c r="V396" s="1"/>
      <c r="W396" s="1"/>
      <c r="X396" s="1"/>
      <c r="Y396" s="1"/>
      <c r="Z396" s="1"/>
      <c r="AA396" s="1"/>
      <c r="AB396" s="1"/>
      <c r="AC396" s="1"/>
      <c r="AD396" s="1"/>
      <c r="AE396" s="1"/>
      <c r="AF396" s="1"/>
      <c r="AG396" s="1"/>
      <c r="AH396" s="1"/>
      <c r="AI396" s="1"/>
      <c r="AJ396" s="1"/>
      <c r="AK396" s="1"/>
      <c r="AL396" s="1"/>
    </row>
    <row r="397" spans="1:38">
      <c r="A397" s="1"/>
      <c r="B397" s="358"/>
      <c r="C397" s="1"/>
      <c r="D397" s="1"/>
      <c r="E397" s="283" t="s">
        <v>1005</v>
      </c>
      <c r="F397" s="283" t="s">
        <v>991</v>
      </c>
      <c r="G397" s="283"/>
      <c r="H397" s="1"/>
      <c r="I397" s="283"/>
      <c r="J397" s="283"/>
      <c r="K397" s="283"/>
      <c r="L397" s="283"/>
      <c r="M397" s="283"/>
      <c r="N397" s="283"/>
      <c r="O397" s="283"/>
      <c r="P397" s="283"/>
      <c r="Q397" s="283"/>
      <c r="R397" s="283"/>
      <c r="S397" s="283"/>
      <c r="T397" s="1"/>
      <c r="U397" s="1"/>
      <c r="V397" s="1"/>
      <c r="W397" s="1"/>
      <c r="X397" s="1"/>
      <c r="Y397" s="1"/>
      <c r="Z397" s="1"/>
      <c r="AA397" s="1"/>
      <c r="AB397" s="1"/>
      <c r="AC397" s="1"/>
      <c r="AD397" s="1"/>
      <c r="AE397" s="1"/>
      <c r="AF397" s="1"/>
      <c r="AG397" s="1"/>
      <c r="AH397" s="1"/>
      <c r="AI397" s="1"/>
      <c r="AJ397" s="1"/>
      <c r="AK397" s="1"/>
      <c r="AL397" s="1"/>
    </row>
    <row r="398" spans="1:38">
      <c r="A398" s="1"/>
      <c r="B398" s="358"/>
      <c r="C398" s="1"/>
      <c r="D398" s="1"/>
      <c r="E398" s="283" t="s">
        <v>1011</v>
      </c>
      <c r="F398" s="283" t="s">
        <v>985</v>
      </c>
      <c r="G398" s="1"/>
      <c r="H398" s="1"/>
      <c r="I398" s="283"/>
      <c r="J398" s="283"/>
      <c r="K398" s="283"/>
      <c r="L398" s="283"/>
      <c r="M398" s="283"/>
      <c r="N398" s="283"/>
      <c r="O398" s="283"/>
      <c r="P398" s="283"/>
      <c r="Q398" s="283"/>
      <c r="R398" s="283"/>
      <c r="S398" s="283"/>
      <c r="T398" s="1"/>
      <c r="U398" s="1"/>
      <c r="V398" s="1"/>
      <c r="W398" s="1"/>
      <c r="X398" s="1"/>
      <c r="Y398" s="1"/>
      <c r="Z398" s="1"/>
      <c r="AA398" s="1"/>
      <c r="AB398" s="1"/>
      <c r="AC398" s="1"/>
      <c r="AD398" s="1"/>
      <c r="AE398" s="1"/>
      <c r="AF398" s="1"/>
      <c r="AG398" s="1"/>
      <c r="AH398" s="1"/>
      <c r="AI398" s="1"/>
      <c r="AJ398" s="1"/>
      <c r="AK398" s="1"/>
      <c r="AL398" s="1"/>
    </row>
    <row r="399" spans="1:38">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row>
    <row r="400" spans="1:38">
      <c r="A400" s="1"/>
      <c r="B400" s="358"/>
      <c r="C400" s="358" t="s">
        <v>306</v>
      </c>
      <c r="D400" s="1"/>
      <c r="E400" s="1"/>
      <c r="F400" s="1"/>
      <c r="G400" s="358" t="s">
        <v>984</v>
      </c>
      <c r="H400" s="1"/>
      <c r="I400" s="283"/>
      <c r="J400" s="1"/>
      <c r="K400" s="1"/>
      <c r="L400" s="1"/>
      <c r="M400" s="1"/>
      <c r="N400" s="1"/>
      <c r="O400" s="1"/>
      <c r="P400" s="1"/>
      <c r="Q400" s="1"/>
      <c r="R400" s="1"/>
      <c r="S400" s="283"/>
      <c r="T400" s="1"/>
      <c r="U400" s="1"/>
      <c r="V400" s="1"/>
      <c r="W400" s="1"/>
      <c r="X400" s="1"/>
      <c r="Y400" s="1"/>
      <c r="Z400" s="1"/>
      <c r="AA400" s="1"/>
      <c r="AB400" s="1"/>
      <c r="AC400" s="1"/>
      <c r="AD400" s="1"/>
      <c r="AE400" s="1"/>
      <c r="AF400" s="1"/>
      <c r="AG400" s="1"/>
      <c r="AH400" s="1"/>
      <c r="AI400" s="1"/>
      <c r="AJ400" s="1"/>
      <c r="AK400" s="1"/>
      <c r="AL400" s="1"/>
    </row>
    <row r="401" spans="1:38">
      <c r="A401" s="1"/>
      <c r="B401" s="358"/>
      <c r="C401" s="1"/>
      <c r="D401" s="1"/>
      <c r="E401" s="1"/>
      <c r="F401" s="283" t="s">
        <v>1336</v>
      </c>
      <c r="G401" s="1"/>
      <c r="H401" s="1"/>
      <c r="I401" s="1"/>
      <c r="J401" s="1"/>
      <c r="K401" s="1"/>
      <c r="L401" s="1"/>
      <c r="M401" s="1"/>
      <c r="N401" s="1"/>
      <c r="O401" s="1"/>
      <c r="P401" s="1"/>
      <c r="Q401" s="1"/>
      <c r="R401" s="1"/>
      <c r="S401" s="283"/>
      <c r="T401" s="1"/>
      <c r="U401" s="1"/>
      <c r="V401" s="1"/>
      <c r="W401" s="1"/>
      <c r="X401" s="1"/>
      <c r="Y401" s="1"/>
      <c r="Z401" s="1"/>
      <c r="AA401" s="1"/>
      <c r="AB401" s="1"/>
      <c r="AC401" s="1"/>
      <c r="AD401" s="1"/>
      <c r="AE401" s="1"/>
      <c r="AF401" s="1"/>
      <c r="AG401" s="1"/>
      <c r="AH401" s="1"/>
      <c r="AI401" s="1"/>
      <c r="AJ401" s="1"/>
      <c r="AK401" s="1"/>
      <c r="AL401" s="1"/>
    </row>
    <row r="402" spans="1:38">
      <c r="A402" s="1"/>
      <c r="B402" s="358"/>
      <c r="C402" s="1"/>
      <c r="D402" s="1"/>
      <c r="E402" s="1"/>
      <c r="F402" s="1"/>
      <c r="G402" s="1"/>
      <c r="H402" s="1"/>
      <c r="I402" s="1"/>
      <c r="J402" s="1"/>
      <c r="K402" s="1"/>
      <c r="L402" s="1"/>
      <c r="M402" s="1"/>
      <c r="N402" s="1"/>
      <c r="O402" s="1"/>
      <c r="P402" s="1"/>
      <c r="Q402" s="1"/>
      <c r="R402" s="1"/>
      <c r="S402" s="283"/>
      <c r="T402" s="1"/>
      <c r="U402" s="1"/>
      <c r="V402" s="1"/>
      <c r="W402" s="1"/>
      <c r="X402" s="1"/>
      <c r="Y402" s="1"/>
      <c r="Z402" s="1"/>
      <c r="AA402" s="1"/>
      <c r="AB402" s="1"/>
      <c r="AC402" s="1"/>
      <c r="AD402" s="1"/>
      <c r="AE402" s="1"/>
      <c r="AF402" s="1"/>
      <c r="AG402" s="1"/>
      <c r="AH402" s="1"/>
      <c r="AI402" s="1"/>
      <c r="AJ402" s="1"/>
      <c r="AK402" s="1"/>
      <c r="AL402" s="1"/>
    </row>
    <row r="403" spans="1:38">
      <c r="A403" s="1"/>
      <c r="B403" s="358"/>
      <c r="C403" s="358" t="s">
        <v>368</v>
      </c>
      <c r="D403" s="1"/>
      <c r="E403" s="1"/>
      <c r="F403" s="1"/>
      <c r="G403" s="358" t="s">
        <v>157</v>
      </c>
      <c r="H403" s="1"/>
      <c r="I403" s="1"/>
      <c r="J403" s="1"/>
      <c r="K403" s="1"/>
      <c r="L403" s="1"/>
      <c r="M403" s="1"/>
      <c r="N403" s="1"/>
      <c r="O403" s="1"/>
      <c r="P403" s="1"/>
      <c r="Q403" s="1"/>
      <c r="R403" s="1"/>
      <c r="S403" s="283"/>
      <c r="T403" s="1"/>
      <c r="U403" s="1"/>
      <c r="V403" s="1"/>
      <c r="W403" s="1"/>
      <c r="X403" s="1"/>
      <c r="Y403" s="1"/>
      <c r="Z403" s="1"/>
      <c r="AA403" s="1"/>
      <c r="AB403" s="1"/>
      <c r="AC403" s="1"/>
      <c r="AD403" s="1"/>
      <c r="AE403" s="1"/>
      <c r="AF403" s="1"/>
      <c r="AG403" s="1"/>
      <c r="AH403" s="1"/>
      <c r="AI403" s="1"/>
      <c r="AJ403" s="1"/>
      <c r="AK403" s="1"/>
      <c r="AL403" s="1"/>
    </row>
    <row r="404" spans="1:38">
      <c r="A404" s="1"/>
      <c r="B404" s="358"/>
      <c r="C404" s="1"/>
      <c r="D404" s="1"/>
      <c r="E404" s="1" t="s">
        <v>1004</v>
      </c>
      <c r="F404" s="1" t="s">
        <v>158</v>
      </c>
      <c r="G404" s="1"/>
      <c r="H404" s="1"/>
      <c r="I404" s="1"/>
      <c r="J404" s="1"/>
      <c r="K404" s="1"/>
      <c r="L404" s="1"/>
      <c r="M404" s="1"/>
      <c r="N404" s="1"/>
      <c r="O404" s="1"/>
      <c r="P404" s="1"/>
      <c r="Q404" s="1"/>
      <c r="R404" s="1"/>
      <c r="S404" s="283"/>
      <c r="T404" s="1"/>
      <c r="U404" s="1"/>
      <c r="V404" s="1"/>
      <c r="W404" s="1"/>
      <c r="X404" s="1"/>
      <c r="Y404" s="1"/>
      <c r="Z404" s="1"/>
      <c r="AA404" s="1"/>
      <c r="AB404" s="1"/>
      <c r="AC404" s="1"/>
      <c r="AD404" s="1"/>
      <c r="AE404" s="1"/>
      <c r="AF404" s="1"/>
      <c r="AG404" s="1"/>
      <c r="AH404" s="1"/>
      <c r="AI404" s="1"/>
      <c r="AJ404" s="1"/>
      <c r="AK404" s="1"/>
      <c r="AL404" s="1"/>
    </row>
    <row r="405" spans="1:38">
      <c r="A405" s="1"/>
      <c r="B405" s="358"/>
      <c r="C405" s="1"/>
      <c r="D405" s="1"/>
      <c r="E405" s="1" t="s">
        <v>1005</v>
      </c>
      <c r="F405" s="283" t="s">
        <v>1335</v>
      </c>
      <c r="G405" s="1"/>
      <c r="H405" s="1"/>
      <c r="I405" s="1"/>
      <c r="J405" s="1"/>
      <c r="K405" s="1"/>
      <c r="L405" s="1"/>
      <c r="M405" s="1"/>
      <c r="N405" s="1"/>
      <c r="O405" s="1"/>
      <c r="P405" s="1"/>
      <c r="Q405" s="1"/>
      <c r="R405" s="1"/>
      <c r="S405" s="283"/>
      <c r="T405" s="1"/>
      <c r="U405" s="1"/>
      <c r="V405" s="1"/>
      <c r="W405" s="1"/>
      <c r="X405" s="1"/>
      <c r="Y405" s="1"/>
      <c r="Z405" s="1"/>
      <c r="AA405" s="1"/>
      <c r="AB405" s="1"/>
      <c r="AC405" s="1"/>
      <c r="AD405" s="1"/>
      <c r="AE405" s="1"/>
      <c r="AF405" s="1"/>
      <c r="AG405" s="1"/>
      <c r="AH405" s="1"/>
      <c r="AI405" s="1"/>
      <c r="AJ405" s="1"/>
      <c r="AK405" s="1"/>
      <c r="AL405" s="1"/>
    </row>
    <row r="406" spans="1:38">
      <c r="A406" s="1"/>
      <c r="B406" s="358"/>
      <c r="C406" s="1"/>
      <c r="D406" s="1"/>
      <c r="E406" s="1"/>
      <c r="F406" s="1" t="s">
        <v>159</v>
      </c>
      <c r="G406" s="1"/>
      <c r="H406" s="1"/>
      <c r="I406" s="1"/>
      <c r="J406" s="1"/>
      <c r="K406" s="1"/>
      <c r="L406" s="1"/>
      <c r="M406" s="1"/>
      <c r="N406" s="1"/>
      <c r="O406" s="1"/>
      <c r="P406" s="1"/>
      <c r="Q406" s="1"/>
      <c r="R406" s="1"/>
      <c r="S406" s="283"/>
      <c r="T406" s="1"/>
      <c r="U406" s="1"/>
      <c r="V406" s="1"/>
      <c r="W406" s="1"/>
      <c r="X406" s="1"/>
      <c r="Y406" s="1"/>
      <c r="Z406" s="1"/>
      <c r="AA406" s="1"/>
      <c r="AB406" s="1"/>
      <c r="AC406" s="1"/>
      <c r="AD406" s="1"/>
      <c r="AE406" s="1"/>
      <c r="AF406" s="1"/>
      <c r="AG406" s="1"/>
      <c r="AH406" s="1"/>
      <c r="AI406" s="1"/>
      <c r="AJ406" s="1"/>
      <c r="AK406" s="1"/>
      <c r="AL406" s="1"/>
    </row>
    <row r="407" spans="1:38">
      <c r="A407" s="1"/>
      <c r="B407" s="358"/>
      <c r="C407" s="1"/>
      <c r="D407" s="1"/>
      <c r="E407" s="1"/>
      <c r="F407" s="1"/>
      <c r="G407" s="1"/>
      <c r="H407" s="1"/>
      <c r="I407" s="1"/>
      <c r="J407" s="1"/>
      <c r="K407" s="1"/>
      <c r="L407" s="1"/>
      <c r="M407" s="1"/>
      <c r="N407" s="1"/>
      <c r="O407" s="1"/>
      <c r="P407" s="1"/>
      <c r="Q407" s="1"/>
      <c r="R407" s="1"/>
      <c r="S407" s="283"/>
      <c r="T407" s="1"/>
      <c r="U407" s="1"/>
      <c r="V407" s="1"/>
      <c r="W407" s="1"/>
      <c r="X407" s="1"/>
      <c r="Y407" s="1"/>
      <c r="Z407" s="1"/>
      <c r="AA407" s="1"/>
      <c r="AB407" s="1"/>
      <c r="AC407" s="1"/>
      <c r="AD407" s="1"/>
      <c r="AE407" s="1"/>
      <c r="AF407" s="1"/>
      <c r="AG407" s="1"/>
      <c r="AH407" s="1"/>
      <c r="AI407" s="1"/>
      <c r="AJ407" s="1"/>
      <c r="AK407" s="1"/>
      <c r="AL407" s="1"/>
    </row>
    <row r="408" spans="1:38">
      <c r="A408" s="12"/>
      <c r="B408" s="1065" t="s">
        <v>160</v>
      </c>
      <c r="C408" s="1066" t="s">
        <v>161</v>
      </c>
      <c r="D408" s="12"/>
      <c r="E408" s="12"/>
      <c r="F408" s="356"/>
      <c r="G408" s="356"/>
      <c r="H408" s="356"/>
      <c r="I408" s="356"/>
      <c r="J408" s="356"/>
      <c r="K408" s="356"/>
      <c r="L408" s="356"/>
      <c r="M408" s="356"/>
      <c r="N408" s="356"/>
      <c r="O408" s="356"/>
      <c r="P408" s="356"/>
      <c r="Q408" s="356"/>
      <c r="R408" s="356"/>
      <c r="S408" s="356"/>
      <c r="T408" s="12"/>
      <c r="U408" s="12"/>
      <c r="V408" s="12"/>
      <c r="W408" s="12"/>
      <c r="X408" s="12"/>
      <c r="Y408" s="12"/>
      <c r="Z408" s="12"/>
      <c r="AA408" s="12"/>
      <c r="AB408" s="12"/>
      <c r="AC408" s="12"/>
      <c r="AD408" s="12"/>
      <c r="AE408" s="12"/>
      <c r="AF408" s="12"/>
      <c r="AG408" s="12"/>
      <c r="AH408" s="12"/>
      <c r="AI408" s="12"/>
      <c r="AJ408" s="12"/>
      <c r="AK408" s="12"/>
      <c r="AL408" s="12"/>
    </row>
    <row r="409" spans="1:38">
      <c r="A409" s="1"/>
      <c r="B409" s="358"/>
      <c r="C409" s="289" t="s">
        <v>2198</v>
      </c>
      <c r="D409" s="1"/>
      <c r="E409" s="1"/>
      <c r="F409" s="1"/>
      <c r="G409" s="358"/>
      <c r="H409" s="1"/>
      <c r="I409" s="283"/>
      <c r="J409" s="1"/>
      <c r="K409" s="1"/>
      <c r="L409" s="1"/>
      <c r="M409" s="1"/>
      <c r="N409" s="1"/>
      <c r="O409" s="1"/>
      <c r="P409" s="1"/>
      <c r="Q409" s="1"/>
      <c r="R409" s="1"/>
      <c r="S409" s="283"/>
      <c r="T409" s="1"/>
      <c r="U409" s="1"/>
      <c r="V409" s="1"/>
      <c r="W409" s="1"/>
      <c r="X409" s="1"/>
      <c r="Y409" s="1"/>
      <c r="Z409" s="1"/>
      <c r="AA409" s="1"/>
      <c r="AB409" s="1"/>
      <c r="AC409" s="1"/>
      <c r="AD409" s="1"/>
      <c r="AE409" s="1"/>
      <c r="AF409" s="1"/>
      <c r="AG409" s="1"/>
      <c r="AH409" s="1"/>
      <c r="AI409" s="1"/>
      <c r="AJ409" s="1"/>
      <c r="AK409" s="1"/>
      <c r="AL409" s="1"/>
    </row>
    <row r="410" spans="1:38">
      <c r="A410" s="1"/>
      <c r="B410" s="358"/>
      <c r="C410" s="1364" t="s">
        <v>2199</v>
      </c>
      <c r="D410" s="1"/>
      <c r="E410" s="1"/>
      <c r="F410" s="1"/>
      <c r="G410" s="1"/>
      <c r="H410" s="1"/>
      <c r="I410" s="1"/>
      <c r="J410" s="1"/>
      <c r="K410" s="1"/>
      <c r="L410" s="1"/>
      <c r="M410" s="1"/>
      <c r="N410" s="1"/>
      <c r="O410" s="1"/>
      <c r="P410" s="1"/>
      <c r="Q410" s="1"/>
      <c r="R410" s="1"/>
      <c r="S410" s="283"/>
      <c r="T410" s="1"/>
      <c r="U410" s="1"/>
      <c r="V410" s="1"/>
      <c r="W410" s="1"/>
      <c r="X410" s="1"/>
      <c r="Y410" s="1"/>
      <c r="Z410" s="1"/>
      <c r="AA410" s="1"/>
      <c r="AB410" s="1"/>
      <c r="AC410" s="1"/>
      <c r="AD410" s="1"/>
      <c r="AE410" s="1"/>
      <c r="AF410" s="1"/>
      <c r="AG410" s="1"/>
      <c r="AH410" s="1"/>
      <c r="AI410" s="1"/>
      <c r="AJ410" s="1"/>
      <c r="AK410" s="1"/>
      <c r="AL410" s="1"/>
    </row>
    <row r="411" spans="1:38">
      <c r="A411" s="1"/>
      <c r="B411" s="358"/>
      <c r="C411" s="283" t="s">
        <v>1796</v>
      </c>
      <c r="D411" s="1"/>
      <c r="E411" s="1"/>
      <c r="F411" s="1"/>
      <c r="G411" s="1"/>
      <c r="H411" s="1"/>
      <c r="I411" s="1"/>
      <c r="J411" s="1"/>
      <c r="K411" s="1"/>
      <c r="L411" s="1"/>
      <c r="M411" s="1"/>
      <c r="N411" s="1"/>
      <c r="O411" s="1"/>
      <c r="P411" s="1"/>
      <c r="Q411" s="1"/>
      <c r="R411" s="1"/>
      <c r="S411" s="283"/>
      <c r="T411" s="1"/>
      <c r="U411" s="1"/>
      <c r="V411" s="1"/>
      <c r="W411" s="1"/>
      <c r="X411" s="1"/>
      <c r="Y411" s="1"/>
      <c r="Z411" s="1"/>
      <c r="AA411" s="1"/>
      <c r="AB411" s="1"/>
      <c r="AC411" s="1"/>
      <c r="AD411" s="1"/>
      <c r="AE411" s="1"/>
      <c r="AF411" s="1"/>
      <c r="AG411" s="1"/>
      <c r="AH411" s="1"/>
      <c r="AI411" s="1"/>
      <c r="AJ411" s="1"/>
      <c r="AK411" s="1"/>
      <c r="AL411" s="1"/>
    </row>
    <row r="412" spans="1:38"/>
    <row r="413" spans="1:38"/>
    <row r="414" spans="1:38"/>
    <row r="415" spans="1:38"/>
    <row r="416" spans="1:38"/>
    <row r="417"/>
    <row r="418"/>
    <row r="419"/>
  </sheetData>
  <sheetProtection algorithmName="SHA-512" hashValue="9VKsC91H5wXKYKEh/X+pP9qnOrdDiLvv/0AiMdw+CUaOMkijAiSWswQws7m00OdcW1NM3vkYa1paYaz/aIIGTA==" saltValue="CFuyN3TeibQ7rIrqL9L70w=="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 right="0.7" top="0.75" bottom="0.75" header="0.3" footer="0.3"/>
      <pageSetup scale="92" fitToHeight="10" orientation="portrait"/>
      <headerFooter alignWithMargins="0"/>
    </customSheetView>
  </customSheetViews>
  <mergeCells count="37">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D19:AK25"/>
    <mergeCell ref="D29:AK30"/>
    <mergeCell ref="F36:AK37"/>
    <mergeCell ref="F42:AK44"/>
    <mergeCell ref="E26:AK26"/>
    <mergeCell ref="E27:AK27"/>
    <mergeCell ref="E31:AK31"/>
    <mergeCell ref="E32:AK32"/>
  </mergeCells>
  <phoneticPr fontId="0" type="noConversion"/>
  <hyperlinks>
    <hyperlink ref="E27" r:id="rId1" display="http://www.treasurer.ca.gov/ctcac/2018/lra/index.asp"/>
    <hyperlink ref="E31" r:id="rId2"/>
    <hyperlink ref="E32" r:id="rId3"/>
    <hyperlink ref="E26" r:id="rId4"/>
    <hyperlink ref="E27:AK27" r:id="rId5" display="http://www.treasurer.ca.gov/ctcac/2019/lra/index.asp"/>
    <hyperlink ref="E26:AK26" r:id="rId6" display="https://www.treasurer.ca.gov/ctcac/2019/submitals/competitive.asp"/>
  </hyperlinks>
  <pageMargins left="0.75" right="0.75" top="0.75" bottom="0.75" header="0.5" footer="0.5"/>
  <pageSetup scale="96" fitToHeight="0" orientation="portrait"/>
  <headerFooter alignWithMargins="0"/>
  <rowBreaks count="9" manualBreakCount="9">
    <brk id="53" max="37" man="1"/>
    <brk id="114" max="37" man="1"/>
    <brk id="214" max="37" man="1"/>
    <brk id="238" max="37" man="1"/>
    <brk id="287" max="37" man="1"/>
    <brk id="330" max="37" man="1"/>
    <brk id="355" max="37" man="1"/>
    <brk id="392" max="37" man="1"/>
    <brk id="407" max="37" man="1"/>
  </rowBreaks>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J82"/>
  <sheetViews>
    <sheetView showGridLines="0" topLeftCell="A58" zoomScaleSheetLayoutView="100" workbookViewId="0"/>
  </sheetViews>
  <sheetFormatPr defaultColWidth="0" defaultRowHeight="13.2" zeroHeight="1"/>
  <cols>
    <col min="1" max="10" width="9.109375" style="16" customWidth="1"/>
    <col min="11" max="16384" width="8.88671875" style="16" hidden="1"/>
  </cols>
  <sheetData>
    <row r="1" spans="1:10" ht="14.25" customHeight="1"/>
    <row r="2" spans="1:10" ht="15.6">
      <c r="A2" s="1534" t="s">
        <v>333</v>
      </c>
      <c r="B2" s="1535"/>
      <c r="C2" s="1535"/>
      <c r="D2" s="1535"/>
      <c r="E2" s="1535"/>
      <c r="F2" s="1535"/>
      <c r="G2" s="1535"/>
      <c r="H2" s="1535"/>
      <c r="I2" s="1535"/>
      <c r="J2" s="1535"/>
    </row>
    <row r="3" spans="1:10" ht="15">
      <c r="A3" s="1536" t="s">
        <v>2321</v>
      </c>
      <c r="B3" s="1535"/>
      <c r="C3" s="1535"/>
      <c r="D3" s="1535"/>
      <c r="E3" s="1535"/>
      <c r="F3" s="1535"/>
      <c r="G3" s="1535"/>
      <c r="H3" s="1535"/>
      <c r="I3" s="1535"/>
      <c r="J3" s="1535"/>
    </row>
    <row r="4" spans="1:10"/>
    <row r="5" spans="1:10">
      <c r="A5" s="1537" t="s">
        <v>2323</v>
      </c>
      <c r="B5" s="1538"/>
      <c r="C5" s="1538"/>
      <c r="D5" s="1538"/>
      <c r="E5" s="1538"/>
      <c r="F5" s="1538"/>
      <c r="G5" s="1538"/>
      <c r="H5" s="1538"/>
      <c r="I5" s="1538"/>
      <c r="J5" s="1538"/>
    </row>
    <row r="6" spans="1:10">
      <c r="A6" s="1538"/>
      <c r="B6" s="1538"/>
      <c r="C6" s="1538"/>
      <c r="D6" s="1538"/>
      <c r="E6" s="1538"/>
      <c r="F6" s="1538"/>
      <c r="G6" s="1538"/>
      <c r="H6" s="1538"/>
      <c r="I6" s="1538"/>
      <c r="J6" s="1538"/>
    </row>
    <row r="7" spans="1:10">
      <c r="A7" s="1538"/>
      <c r="B7" s="1538"/>
      <c r="C7" s="1538"/>
      <c r="D7" s="1538"/>
      <c r="E7" s="1538"/>
      <c r="F7" s="1538"/>
      <c r="G7" s="1538"/>
      <c r="H7" s="1538"/>
      <c r="I7" s="1538"/>
      <c r="J7" s="1538"/>
    </row>
    <row r="8" spans="1:10">
      <c r="A8" s="1538"/>
      <c r="B8" s="1538"/>
      <c r="C8" s="1538"/>
      <c r="D8" s="1538"/>
      <c r="E8" s="1538"/>
      <c r="F8" s="1538"/>
      <c r="G8" s="1538"/>
      <c r="H8" s="1538"/>
      <c r="I8" s="1538"/>
      <c r="J8" s="1538"/>
    </row>
    <row r="9" spans="1:10">
      <c r="A9" s="1129"/>
      <c r="B9" s="1129"/>
      <c r="C9" s="1129"/>
      <c r="D9" s="1129"/>
      <c r="E9" s="1129"/>
      <c r="F9" s="1129"/>
      <c r="G9" s="1129"/>
      <c r="H9" s="1129"/>
      <c r="I9" s="1129"/>
      <c r="J9" s="1129"/>
    </row>
    <row r="10" spans="1:10" ht="12.75" customHeight="1">
      <c r="A10" s="1507" t="s">
        <v>2324</v>
      </c>
      <c r="B10" s="1506"/>
      <c r="C10" s="1506"/>
      <c r="D10" s="1506"/>
      <c r="E10" s="1506"/>
      <c r="F10" s="1506"/>
      <c r="G10" s="1506"/>
      <c r="H10" s="1506"/>
      <c r="I10" s="1506"/>
      <c r="J10" s="1506"/>
    </row>
    <row r="11" spans="1:10"/>
    <row r="12" spans="1:10" ht="12.75" customHeight="1">
      <c r="A12" s="1537" t="s">
        <v>2133</v>
      </c>
      <c r="B12" s="1539"/>
      <c r="C12" s="1539"/>
      <c r="D12" s="1539"/>
      <c r="E12" s="1539"/>
      <c r="F12" s="1539"/>
      <c r="G12" s="1539"/>
      <c r="H12" s="1539"/>
      <c r="I12" s="1539"/>
      <c r="J12" s="1539"/>
    </row>
    <row r="13" spans="1:10" ht="12.75" customHeight="1">
      <c r="A13" s="1539"/>
      <c r="B13" s="1539"/>
      <c r="C13" s="1539"/>
      <c r="D13" s="1539"/>
      <c r="E13" s="1539"/>
      <c r="F13" s="1539"/>
      <c r="G13" s="1539"/>
      <c r="H13" s="1539"/>
      <c r="I13" s="1539"/>
      <c r="J13" s="1539"/>
    </row>
    <row r="14" spans="1:10">
      <c r="A14" s="1539"/>
      <c r="B14" s="1539"/>
      <c r="C14" s="1539"/>
      <c r="D14" s="1539"/>
      <c r="E14" s="1539"/>
      <c r="F14" s="1539"/>
      <c r="G14" s="1539"/>
      <c r="H14" s="1539"/>
      <c r="I14" s="1539"/>
      <c r="J14" s="1539"/>
    </row>
    <row r="15" spans="1:10">
      <c r="A15" s="1538"/>
      <c r="B15" s="1538"/>
      <c r="C15" s="1538"/>
      <c r="D15" s="1538"/>
      <c r="E15" s="1538"/>
      <c r="F15" s="1538"/>
      <c r="G15" s="1538"/>
      <c r="H15" s="1538"/>
      <c r="I15" s="1538"/>
      <c r="J15" s="1538"/>
    </row>
    <row r="16" spans="1:10">
      <c r="A16" s="1538"/>
      <c r="B16" s="1538"/>
      <c r="C16" s="1538"/>
      <c r="D16" s="1538"/>
      <c r="E16" s="1538"/>
      <c r="F16" s="1538"/>
      <c r="G16" s="1538"/>
      <c r="H16" s="1538"/>
      <c r="I16" s="1538"/>
      <c r="J16" s="1538"/>
    </row>
    <row r="17" spans="1:10">
      <c r="A17" s="1538"/>
      <c r="B17" s="1538"/>
      <c r="C17" s="1538"/>
      <c r="D17" s="1538"/>
      <c r="E17" s="1538"/>
      <c r="F17" s="1538"/>
      <c r="G17" s="1538"/>
      <c r="H17" s="1538"/>
      <c r="I17" s="1538"/>
      <c r="J17" s="1538"/>
    </row>
    <row r="18" spans="1:10">
      <c r="A18" s="40" t="s">
        <v>1148</v>
      </c>
      <c r="B18" s="1129"/>
      <c r="C18" s="1129"/>
      <c r="D18" s="1129"/>
      <c r="E18" s="1129"/>
      <c r="F18" s="1129"/>
      <c r="G18" s="1129"/>
      <c r="H18" s="1129"/>
      <c r="I18" s="1129"/>
      <c r="J18" s="1129"/>
    </row>
    <row r="19" spans="1:10">
      <c r="A19" s="1130" t="s">
        <v>255</v>
      </c>
      <c r="B19" s="1130"/>
      <c r="C19" s="1130"/>
      <c r="D19" s="1130"/>
      <c r="E19" s="1130"/>
      <c r="F19" s="1130"/>
      <c r="G19" s="1130"/>
      <c r="H19" s="1130"/>
      <c r="I19" s="1130"/>
      <c r="J19" s="1130"/>
    </row>
    <row r="20" spans="1:10">
      <c r="A20" s="1540" t="s">
        <v>1130</v>
      </c>
      <c r="B20" s="1535"/>
      <c r="C20" s="1535"/>
      <c r="D20" s="1535"/>
      <c r="E20" s="1535"/>
    </row>
    <row r="21" spans="1:10"/>
    <row r="22" spans="1:10"/>
    <row r="23" spans="1:10"/>
    <row r="24" spans="1:10"/>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c r="A57" s="1539" t="s">
        <v>1149</v>
      </c>
      <c r="B57" s="1538"/>
      <c r="C57" s="1538"/>
      <c r="D57" s="1538"/>
      <c r="E57" s="1538"/>
      <c r="F57" s="1538"/>
      <c r="G57" s="1538"/>
      <c r="H57" s="1538"/>
      <c r="I57" s="1538"/>
      <c r="J57" s="1538"/>
    </row>
    <row r="58" spans="1:10">
      <c r="A58" s="1538"/>
      <c r="B58" s="1538"/>
      <c r="C58" s="1538"/>
      <c r="D58" s="1538"/>
      <c r="E58" s="1538"/>
      <c r="F58" s="1538"/>
      <c r="G58" s="1538"/>
      <c r="H58" s="1538"/>
      <c r="I58" s="1538"/>
      <c r="J58" s="1538"/>
    </row>
    <row r="59" spans="1:10">
      <c r="A59" s="1538"/>
      <c r="B59" s="1538"/>
      <c r="C59" s="1538"/>
      <c r="D59" s="1538"/>
      <c r="E59" s="1538"/>
      <c r="F59" s="1538"/>
      <c r="G59" s="1538"/>
      <c r="H59" s="1538"/>
      <c r="I59" s="1538"/>
      <c r="J59" s="1538"/>
    </row>
    <row r="60" spans="1:10"/>
    <row r="61" spans="1:10">
      <c r="A61" s="8" t="s">
        <v>1130</v>
      </c>
    </row>
    <row r="62" spans="1:10"/>
    <row r="63" spans="1:10"/>
    <row r="64" spans="1:10"/>
    <row r="65" spans="1:9"/>
    <row r="66" spans="1:9"/>
    <row r="67" spans="1:9"/>
    <row r="68" spans="1:9"/>
    <row r="69" spans="1:9"/>
    <row r="70" spans="1:9"/>
    <row r="71" spans="1:9"/>
    <row r="72" spans="1:9">
      <c r="A72" s="1533" t="s">
        <v>1265</v>
      </c>
      <c r="B72" s="1533"/>
      <c r="C72" s="1533"/>
      <c r="D72" s="1533"/>
      <c r="E72" s="1533"/>
      <c r="F72" s="1533"/>
      <c r="G72" s="1533"/>
      <c r="H72" s="1533"/>
      <c r="I72" s="1533"/>
    </row>
    <row r="73" spans="1:9">
      <c r="A73" s="1532" t="s">
        <v>1426</v>
      </c>
      <c r="B73" s="1532"/>
      <c r="C73" s="1532"/>
      <c r="D73" s="1532"/>
      <c r="E73" s="1532"/>
      <c r="F73" s="1128"/>
    </row>
    <row r="74" spans="1:9">
      <c r="A74" s="1532" t="s">
        <v>1425</v>
      </c>
      <c r="B74" s="1532"/>
      <c r="C74" s="1532"/>
      <c r="D74" s="1532"/>
      <c r="E74" s="1532"/>
      <c r="F74" s="1128"/>
    </row>
    <row r="75" spans="1:9"/>
    <row r="76" spans="1:9"/>
    <row r="77" spans="1:9"/>
    <row r="78" spans="1:9"/>
    <row r="79" spans="1:9"/>
    <row r="80" spans="1:9"/>
    <row r="81"/>
    <row r="82"/>
  </sheetData>
  <sheetProtection algorithmName="SHA-512" hashValue="WCPZT42QoDscw7IzspaPgMfwbRcs0HVIy34BF7j1z93nl1UkD1dwrXPhTpqYMFhZr/yr1iSQRvC69pK2YrTjVg==" saltValue="8SekRRa/zUme2zXIWAxc7w=="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customSheetView>
  </customSheetViews>
  <mergeCells count="9">
    <mergeCell ref="A74:E74"/>
    <mergeCell ref="A73:E73"/>
    <mergeCell ref="A72:I72"/>
    <mergeCell ref="A2:J2"/>
    <mergeCell ref="A3:J3"/>
    <mergeCell ref="A5:J8"/>
    <mergeCell ref="A12:J17"/>
    <mergeCell ref="A20:E20"/>
    <mergeCell ref="A57:J59"/>
  </mergeCells>
  <hyperlinks>
    <hyperlink ref="A74" r:id="rId1"/>
    <hyperlink ref="A73" r:id="rId2"/>
  </hyperlinks>
  <pageMargins left="0.7" right="0.7" top="0.75" bottom="0.75" header="0.3" footer="0.3"/>
  <pageSetup scale="98" orientation="portrait"/>
  <rowBreaks count="1" manualBreakCount="1">
    <brk id="19" max="16383" man="1"/>
  </rowBreaks>
  <drawing r:id="rId3"/>
  <legacyDrawing r:id="rId4"/>
  <oleObjects>
    <mc:AlternateContent xmlns:mc="http://schemas.openxmlformats.org/markup-compatibility/2006">
      <mc:Choice Requires="x14">
        <oleObject progId="Word.Document.12" shapeId="34818" r:id="rId5">
          <objectPr defaultSize="0" autoPict="0" r:id="rId6">
            <anchor moveWithCells="1">
              <from>
                <xdr:col>0</xdr:col>
                <xdr:colOff>0</xdr:colOff>
                <xdr:row>52</xdr:row>
                <xdr:rowOff>0</xdr:rowOff>
              </from>
              <to>
                <xdr:col>0</xdr:col>
                <xdr:colOff>0</xdr:colOff>
                <xdr:row>1048572</xdr:row>
                <xdr:rowOff>106680</xdr:rowOff>
              </to>
            </anchor>
          </objectPr>
        </oleObject>
      </mc:Choice>
      <mc:Fallback>
        <oleObject progId="Word.Document.12" shapeId="34818" r:id="rId5"/>
      </mc:Fallback>
    </mc:AlternateContent>
  </oleObjects>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1453"/>
  <sheetViews>
    <sheetView showGridLines="0" view="pageBreakPreview" topLeftCell="A858" zoomScaleSheetLayoutView="100" workbookViewId="0">
      <selection activeCell="F276" sqref="F276"/>
    </sheetView>
  </sheetViews>
  <sheetFormatPr defaultColWidth="0" defaultRowHeight="13.65" customHeight="1" zeroHeight="1"/>
  <cols>
    <col min="1" max="1" width="1.44140625" style="402" customWidth="1"/>
    <col min="2" max="2" width="13.44140625" style="402" customWidth="1"/>
    <col min="3" max="3" width="2.44140625" style="402" customWidth="1"/>
    <col min="4" max="5" width="3.44140625" style="329" customWidth="1"/>
    <col min="6" max="6" width="67" style="329" customWidth="1"/>
    <col min="7" max="7" width="3.33203125" style="329" customWidth="1"/>
    <col min="8" max="8" width="2.44140625" style="2" hidden="1" customWidth="1"/>
    <col min="9" max="9" width="14" style="2" hidden="1" customWidth="1"/>
    <col min="10" max="16383" width="8.88671875" style="2" hidden="1"/>
    <col min="16384" max="16384" width="0.33203125" style="2" hidden="1" customWidth="1"/>
  </cols>
  <sheetData>
    <row r="1" spans="1:9" ht="13.65" customHeight="1">
      <c r="A1" s="14"/>
      <c r="B1" s="14"/>
      <c r="C1" s="14"/>
      <c r="D1" s="282"/>
      <c r="E1" s="282"/>
      <c r="F1" s="282"/>
    </row>
    <row r="2" spans="1:9" ht="13.2">
      <c r="A2" s="1620" t="s">
        <v>2312</v>
      </c>
      <c r="B2" s="1620"/>
      <c r="C2" s="1621"/>
      <c r="D2" s="1621"/>
      <c r="E2" s="1621"/>
      <c r="F2" s="1621"/>
      <c r="G2" s="1621"/>
      <c r="I2" s="2" t="s">
        <v>86</v>
      </c>
    </row>
    <row r="3" spans="1:9" ht="13.2">
      <c r="A3" s="298"/>
      <c r="B3" s="298"/>
      <c r="C3" s="13"/>
      <c r="D3" s="13"/>
      <c r="E3" s="13"/>
      <c r="F3" s="13"/>
      <c r="G3" s="709"/>
      <c r="I3" s="329" t="s">
        <v>1550</v>
      </c>
    </row>
    <row r="4" spans="1:9" ht="13.2">
      <c r="A4" s="1622" t="s">
        <v>1157</v>
      </c>
      <c r="B4" s="1622"/>
      <c r="C4" s="1623"/>
      <c r="D4" s="1623"/>
      <c r="E4" s="1623"/>
      <c r="F4" s="1623"/>
      <c r="G4" s="1623"/>
      <c r="I4" s="329" t="s">
        <v>1533</v>
      </c>
    </row>
    <row r="5" spans="1:9" ht="13.2">
      <c r="A5" s="1622" t="s">
        <v>1158</v>
      </c>
      <c r="B5" s="1622"/>
      <c r="C5" s="1623"/>
      <c r="D5" s="1623"/>
      <c r="E5" s="1623"/>
      <c r="F5" s="1623"/>
      <c r="G5" s="1623"/>
      <c r="I5" s="2" t="s">
        <v>136</v>
      </c>
    </row>
    <row r="6" spans="1:9" ht="13.65" customHeight="1">
      <c r="A6" s="14"/>
      <c r="B6" s="14"/>
      <c r="C6" s="14"/>
      <c r="D6" s="282"/>
      <c r="E6" s="282"/>
      <c r="F6" s="282"/>
    </row>
    <row r="7" spans="1:9" ht="13.2">
      <c r="A7" s="1624" t="s">
        <v>1588</v>
      </c>
      <c r="B7" s="1624"/>
      <c r="C7" s="1625"/>
      <c r="D7" s="1625"/>
      <c r="E7" s="1625"/>
      <c r="F7" s="1625"/>
      <c r="G7" s="1625"/>
    </row>
    <row r="8" spans="1:9" ht="13.2">
      <c r="A8" s="1624" t="s">
        <v>1589</v>
      </c>
      <c r="B8" s="1624"/>
      <c r="C8" s="1625"/>
      <c r="D8" s="1625"/>
      <c r="E8" s="1625"/>
      <c r="F8" s="1625"/>
      <c r="G8" s="1625"/>
    </row>
    <row r="9" spans="1:9" ht="13.2">
      <c r="A9" s="301"/>
      <c r="B9" s="301"/>
      <c r="C9" s="298"/>
      <c r="D9" s="298"/>
      <c r="E9" s="298"/>
      <c r="F9" s="298"/>
      <c r="G9" s="406"/>
    </row>
    <row r="10" spans="1:9" ht="13.2">
      <c r="A10" s="1626" t="s">
        <v>1739</v>
      </c>
      <c r="B10" s="1626"/>
      <c r="C10" s="1626"/>
      <c r="D10" s="1626"/>
      <c r="E10" s="1626"/>
      <c r="F10" s="1626"/>
      <c r="G10" s="1626"/>
    </row>
    <row r="11" spans="1:9" ht="13.2">
      <c r="A11" s="414"/>
      <c r="B11" s="414"/>
      <c r="C11" s="14"/>
      <c r="D11" s="282"/>
      <c r="E11" s="282"/>
      <c r="F11" s="282"/>
    </row>
    <row r="12" spans="1:9" ht="13.65" customHeight="1">
      <c r="A12" s="140"/>
      <c r="B12" s="140"/>
      <c r="C12" s="298"/>
      <c r="D12" s="1627" t="s">
        <v>1738</v>
      </c>
      <c r="E12" s="1627"/>
      <c r="F12" s="1627"/>
      <c r="G12" s="951"/>
    </row>
    <row r="13" spans="1:9" ht="13.2">
      <c r="A13" s="140"/>
      <c r="B13" s="140"/>
      <c r="C13" s="298"/>
      <c r="D13" s="1627"/>
      <c r="E13" s="1627"/>
      <c r="F13" s="1627"/>
      <c r="G13" s="951"/>
    </row>
    <row r="14" spans="1:9" ht="13.2">
      <c r="A14" s="415"/>
      <c r="B14" s="415"/>
      <c r="C14" s="299"/>
      <c r="D14" s="1544" t="s">
        <v>1575</v>
      </c>
      <c r="E14" s="1544"/>
      <c r="F14" s="1544"/>
      <c r="G14" s="484"/>
    </row>
    <row r="15" spans="1:9" ht="13.2">
      <c r="A15" s="415"/>
      <c r="B15" s="415"/>
      <c r="C15" s="299"/>
      <c r="D15" s="282"/>
      <c r="E15" s="282"/>
      <c r="F15" s="282"/>
    </row>
    <row r="16" spans="1:9" ht="14.4" customHeight="1">
      <c r="A16" s="413"/>
      <c r="B16" s="950" t="s">
        <v>1533</v>
      </c>
      <c r="C16" s="299"/>
      <c r="D16" s="1543" t="s">
        <v>1532</v>
      </c>
      <c r="E16" s="1543"/>
      <c r="F16" s="1543"/>
      <c r="G16" s="568"/>
    </row>
    <row r="17" spans="1:7" ht="14.4" customHeight="1">
      <c r="A17" s="413"/>
      <c r="B17" s="14"/>
      <c r="C17" s="299"/>
      <c r="D17" s="1543"/>
      <c r="E17" s="1543"/>
      <c r="F17" s="1543"/>
      <c r="G17" s="568"/>
    </row>
    <row r="18" spans="1:7" ht="13.2">
      <c r="A18" s="415"/>
      <c r="B18" s="14"/>
      <c r="C18" s="299"/>
      <c r="D18" s="1543"/>
      <c r="E18" s="1543"/>
      <c r="F18" s="1543"/>
      <c r="G18" s="568"/>
    </row>
    <row r="19" spans="1:7" ht="13.2">
      <c r="A19" s="415"/>
      <c r="B19" s="415"/>
      <c r="C19" s="299"/>
      <c r="D19" s="282"/>
      <c r="E19" s="282"/>
      <c r="F19" s="282"/>
    </row>
    <row r="20" spans="1:7" ht="14.4">
      <c r="A20" s="413"/>
      <c r="B20" s="950" t="s">
        <v>1533</v>
      </c>
      <c r="C20" s="14"/>
      <c r="D20" s="1562" t="s">
        <v>1566</v>
      </c>
      <c r="E20" s="1562"/>
      <c r="F20" s="1562"/>
    </row>
    <row r="21" spans="1:7" ht="14.4">
      <c r="A21" s="413"/>
      <c r="B21" s="413"/>
      <c r="C21" s="14"/>
      <c r="D21" s="287"/>
      <c r="E21" s="282"/>
      <c r="F21" s="282"/>
    </row>
    <row r="22" spans="1:7" ht="14.4">
      <c r="A22" s="413"/>
      <c r="B22" s="950" t="s">
        <v>136</v>
      </c>
      <c r="C22" s="14"/>
      <c r="D22" s="1543" t="s">
        <v>1567</v>
      </c>
      <c r="E22" s="1543"/>
      <c r="F22" s="1543"/>
    </row>
    <row r="23" spans="1:7" ht="14.4">
      <c r="A23" s="413"/>
      <c r="B23" s="413"/>
      <c r="C23" s="14"/>
      <c r="D23" s="1543"/>
      <c r="E23" s="1543"/>
      <c r="F23" s="1543"/>
    </row>
    <row r="24" spans="1:7" ht="14.4">
      <c r="A24" s="413"/>
      <c r="B24" s="413"/>
      <c r="C24" s="14"/>
      <c r="D24" s="287"/>
      <c r="E24" s="282"/>
      <c r="F24" s="282"/>
    </row>
    <row r="25" spans="1:7" ht="14.25" customHeight="1">
      <c r="A25" s="570"/>
      <c r="B25" s="950" t="s">
        <v>1533</v>
      </c>
      <c r="D25" s="1582" t="s">
        <v>1569</v>
      </c>
      <c r="E25" s="1582"/>
      <c r="F25" s="1582"/>
    </row>
    <row r="26" spans="1:7" ht="14.4">
      <c r="A26" s="570"/>
      <c r="B26" s="570"/>
      <c r="D26" s="1582"/>
      <c r="E26" s="1582"/>
      <c r="F26" s="1582"/>
    </row>
    <row r="27" spans="1:7" ht="14.4">
      <c r="A27" s="570"/>
      <c r="B27" s="570"/>
      <c r="D27" s="1582"/>
      <c r="E27" s="1582"/>
      <c r="F27" s="1582"/>
    </row>
    <row r="28" spans="1:7" ht="14.4">
      <c r="A28" s="570"/>
      <c r="B28" s="570"/>
      <c r="D28" s="1582"/>
      <c r="E28" s="1582"/>
      <c r="F28" s="1582"/>
    </row>
    <row r="29" spans="1:7" ht="14.4">
      <c r="A29" s="570"/>
      <c r="B29" s="570"/>
      <c r="D29" s="1582"/>
      <c r="E29" s="1582"/>
      <c r="F29" s="1582"/>
    </row>
    <row r="30" spans="1:7" ht="14.4">
      <c r="A30" s="570"/>
      <c r="B30" s="570"/>
      <c r="D30" s="910"/>
      <c r="F30" s="955"/>
    </row>
    <row r="31" spans="1:7" ht="14.4" customHeight="1">
      <c r="A31" s="570"/>
      <c r="B31" s="950" t="s">
        <v>1533</v>
      </c>
      <c r="D31" s="1548" t="s">
        <v>1568</v>
      </c>
      <c r="E31" s="1548"/>
      <c r="F31" s="1548"/>
    </row>
    <row r="32" spans="1:7" ht="14.4">
      <c r="A32" s="570"/>
      <c r="B32" s="570"/>
      <c r="D32" s="1548"/>
      <c r="E32" s="1548"/>
      <c r="F32" s="1548"/>
    </row>
    <row r="33" spans="1:6" ht="14.4">
      <c r="A33" s="413"/>
      <c r="B33" s="413"/>
      <c r="C33" s="14"/>
      <c r="D33" s="954"/>
      <c r="E33" s="954"/>
      <c r="F33" s="954"/>
    </row>
    <row r="34" spans="1:6" ht="14.4">
      <c r="A34" s="413"/>
      <c r="B34" s="950" t="s">
        <v>1533</v>
      </c>
      <c r="C34" s="14"/>
      <c r="D34" s="1551" t="s">
        <v>1983</v>
      </c>
      <c r="E34" s="1548"/>
      <c r="F34" s="1548"/>
    </row>
    <row r="35" spans="1:6" ht="14.4">
      <c r="A35" s="413"/>
      <c r="B35" s="413"/>
      <c r="C35" s="14"/>
      <c r="D35" s="1548"/>
      <c r="E35" s="1548"/>
      <c r="F35" s="1548"/>
    </row>
    <row r="36" spans="1:6" ht="14.4">
      <c r="A36" s="413"/>
      <c r="B36" s="413"/>
      <c r="C36" s="14"/>
      <c r="D36" s="1548"/>
      <c r="E36" s="1548"/>
      <c r="F36" s="1548"/>
    </row>
    <row r="37" spans="1:6" ht="14.4">
      <c r="A37" s="413"/>
      <c r="B37" s="413"/>
      <c r="C37" s="14"/>
      <c r="D37" s="1548"/>
      <c r="E37" s="1548"/>
      <c r="F37" s="1548"/>
    </row>
    <row r="38" spans="1:6" ht="14.4">
      <c r="A38" s="413"/>
      <c r="B38" s="413"/>
      <c r="C38" s="14"/>
      <c r="D38" s="1548"/>
      <c r="E38" s="1548"/>
      <c r="F38" s="1548"/>
    </row>
    <row r="39" spans="1:6" ht="14.4">
      <c r="A39" s="413"/>
      <c r="B39" s="413"/>
      <c r="C39" s="14"/>
      <c r="D39" s="1548"/>
      <c r="E39" s="1548"/>
      <c r="F39" s="1548"/>
    </row>
    <row r="40" spans="1:6" ht="14.4">
      <c r="A40" s="413"/>
      <c r="B40" s="413"/>
      <c r="C40" s="14"/>
      <c r="D40" s="1548"/>
      <c r="E40" s="1548"/>
      <c r="F40" s="1548"/>
    </row>
    <row r="41" spans="1:6" ht="14.4">
      <c r="A41" s="413"/>
      <c r="B41" s="413"/>
      <c r="C41" s="14"/>
      <c r="D41" s="1548"/>
      <c r="E41" s="1548"/>
      <c r="F41" s="1548"/>
    </row>
    <row r="42" spans="1:6" ht="14.4">
      <c r="A42" s="413"/>
      <c r="B42" s="413"/>
      <c r="C42" s="14"/>
      <c r="D42" s="957"/>
      <c r="E42" s="957"/>
      <c r="F42" s="957"/>
    </row>
    <row r="43" spans="1:6" ht="14.4" customHeight="1">
      <c r="A43" s="413"/>
      <c r="B43" s="950" t="s">
        <v>1533</v>
      </c>
      <c r="C43" s="14"/>
      <c r="D43" s="1548" t="s">
        <v>1611</v>
      </c>
      <c r="E43" s="1548"/>
      <c r="F43" s="1548"/>
    </row>
    <row r="44" spans="1:6" ht="14.4">
      <c r="A44" s="413"/>
      <c r="B44" s="413"/>
      <c r="C44" s="14"/>
      <c r="D44" s="1548"/>
      <c r="E44" s="1548"/>
      <c r="F44" s="1548"/>
    </row>
    <row r="45" spans="1:6" ht="14.4">
      <c r="A45" s="413"/>
      <c r="B45" s="413"/>
      <c r="C45" s="14"/>
      <c r="D45" s="1548"/>
      <c r="E45" s="1548"/>
      <c r="F45" s="1548"/>
    </row>
    <row r="46" spans="1:6" ht="14.4">
      <c r="A46" s="413"/>
      <c r="B46" s="413"/>
      <c r="C46" s="14"/>
      <c r="D46" s="1548"/>
      <c r="E46" s="1548"/>
      <c r="F46" s="1548"/>
    </row>
    <row r="47" spans="1:6" ht="14.4">
      <c r="A47" s="413"/>
      <c r="B47" s="413"/>
      <c r="C47" s="14"/>
      <c r="D47" s="1548"/>
      <c r="E47" s="1548"/>
      <c r="F47" s="1548"/>
    </row>
    <row r="48" spans="1:6" ht="14.4">
      <c r="A48" s="413"/>
      <c r="B48" s="413"/>
      <c r="C48" s="14"/>
      <c r="D48" s="403"/>
    </row>
    <row r="49" spans="1:6" ht="14.4">
      <c r="A49" s="413"/>
      <c r="B49" s="950" t="s">
        <v>1533</v>
      </c>
      <c r="C49" s="14"/>
      <c r="D49" s="1551" t="s">
        <v>2153</v>
      </c>
      <c r="E49" s="1548"/>
      <c r="F49" s="1548"/>
    </row>
    <row r="50" spans="1:6" ht="14.4">
      <c r="A50" s="413"/>
      <c r="B50" s="413"/>
      <c r="C50" s="14"/>
      <c r="D50" s="1548"/>
      <c r="E50" s="1548"/>
      <c r="F50" s="1548"/>
    </row>
    <row r="51" spans="1:6" ht="14.4">
      <c r="A51" s="413"/>
      <c r="B51" s="413"/>
      <c r="C51" s="14"/>
      <c r="D51" s="1548"/>
      <c r="E51" s="1548"/>
      <c r="F51" s="1548"/>
    </row>
    <row r="52" spans="1:6" ht="14.4">
      <c r="A52" s="413"/>
      <c r="B52" s="413"/>
      <c r="C52" s="14"/>
      <c r="D52" s="1548"/>
      <c r="E52" s="1548"/>
      <c r="F52" s="1548"/>
    </row>
    <row r="53" spans="1:6" ht="14.4">
      <c r="A53" s="413"/>
      <c r="B53" s="413"/>
      <c r="C53" s="14"/>
      <c r="D53" s="1548"/>
      <c r="E53" s="1548"/>
      <c r="F53" s="1548"/>
    </row>
    <row r="54" spans="1:6" ht="15" customHeight="1">
      <c r="A54" s="413"/>
      <c r="B54" s="413"/>
      <c r="C54" s="14"/>
      <c r="D54" s="1548"/>
      <c r="E54" s="1548"/>
      <c r="F54" s="1548"/>
    </row>
    <row r="55" spans="1:6" ht="14.4">
      <c r="A55" s="413"/>
      <c r="B55" s="413"/>
      <c r="C55" s="14"/>
      <c r="D55" s="2"/>
    </row>
    <row r="56" spans="1:6" ht="14.4">
      <c r="A56" s="413"/>
      <c r="B56" s="950" t="s">
        <v>136</v>
      </c>
      <c r="C56" s="14"/>
      <c r="D56" s="1551" t="s">
        <v>2208</v>
      </c>
      <c r="E56" s="1548"/>
      <c r="F56" s="1548"/>
    </row>
    <row r="57" spans="1:6" ht="14.4">
      <c r="A57" s="413"/>
      <c r="B57" s="413"/>
      <c r="C57" s="14"/>
      <c r="D57" s="1548"/>
      <c r="E57" s="1548"/>
      <c r="F57" s="1548"/>
    </row>
    <row r="58" spans="1:6" ht="14.4">
      <c r="A58" s="413"/>
      <c r="B58" s="413"/>
      <c r="C58" s="14"/>
      <c r="D58" s="1548"/>
      <c r="E58" s="1548"/>
      <c r="F58" s="1548"/>
    </row>
    <row r="59" spans="1:6" ht="14.4">
      <c r="A59" s="413"/>
      <c r="B59" s="413"/>
      <c r="C59" s="14"/>
      <c r="D59" s="1548"/>
      <c r="E59" s="1548"/>
      <c r="F59" s="1548"/>
    </row>
    <row r="60" spans="1:6" ht="17.25" customHeight="1">
      <c r="A60" s="413"/>
      <c r="B60" s="413"/>
      <c r="C60" s="14"/>
      <c r="D60" s="1548"/>
      <c r="E60" s="1548"/>
      <c r="F60" s="1548"/>
    </row>
    <row r="61" spans="1:6" ht="14.25" customHeight="1">
      <c r="A61" s="413"/>
      <c r="B61" s="950" t="s">
        <v>1533</v>
      </c>
      <c r="C61" s="14"/>
      <c r="D61" s="1628" t="s">
        <v>1616</v>
      </c>
      <c r="E61" s="1628"/>
      <c r="F61" s="1628"/>
    </row>
    <row r="62" spans="1:6" ht="15" customHeight="1">
      <c r="A62" s="413"/>
      <c r="B62" s="413"/>
      <c r="C62" s="14"/>
      <c r="D62" s="1628"/>
      <c r="E62" s="1628"/>
      <c r="F62" s="1628"/>
    </row>
    <row r="63" spans="1:6" ht="21.6" customHeight="1">
      <c r="A63" s="413"/>
      <c r="B63" s="413"/>
      <c r="C63" s="14"/>
      <c r="D63" s="1628"/>
      <c r="E63" s="1628"/>
      <c r="F63" s="1628"/>
    </row>
    <row r="64" spans="1:6" ht="14.4">
      <c r="A64" s="413"/>
      <c r="B64" s="413"/>
      <c r="C64" s="14"/>
      <c r="D64" s="136"/>
    </row>
    <row r="65" spans="1:6" ht="14.4">
      <c r="A65" s="570"/>
      <c r="B65" s="950" t="s">
        <v>1533</v>
      </c>
      <c r="D65" s="1548" t="s">
        <v>1617</v>
      </c>
      <c r="E65" s="1548"/>
      <c r="F65" s="1548"/>
    </row>
    <row r="66" spans="1:6" ht="14.4">
      <c r="A66" s="570"/>
      <c r="B66" s="570"/>
      <c r="D66" s="1548"/>
      <c r="E66" s="1548"/>
      <c r="F66" s="1548"/>
    </row>
    <row r="67" spans="1:6" ht="14.4">
      <c r="A67" s="413"/>
      <c r="B67" s="413"/>
      <c r="C67" s="14"/>
      <c r="D67" s="136"/>
    </row>
    <row r="68" spans="1:6" ht="14.4">
      <c r="A68" s="413"/>
      <c r="B68" s="950" t="s">
        <v>136</v>
      </c>
      <c r="C68" s="14"/>
      <c r="D68" s="1548" t="s">
        <v>1737</v>
      </c>
      <c r="E68" s="1548"/>
      <c r="F68" s="1548"/>
    </row>
    <row r="69" spans="1:6" ht="13.2">
      <c r="A69" s="140"/>
      <c r="B69" s="140"/>
      <c r="C69" s="14"/>
      <c r="D69" s="1548"/>
      <c r="E69" s="1548"/>
      <c r="F69" s="1548"/>
    </row>
    <row r="70" spans="1:6" ht="13.2">
      <c r="A70" s="140"/>
      <c r="B70" s="140"/>
      <c r="C70" s="14"/>
      <c r="D70" s="1548"/>
      <c r="E70" s="1548"/>
      <c r="F70" s="1548"/>
    </row>
    <row r="71" spans="1:6" ht="13.2">
      <c r="A71" s="140"/>
      <c r="B71" s="140"/>
      <c r="C71" s="14"/>
      <c r="D71" s="282"/>
      <c r="E71" s="282"/>
      <c r="F71" s="282"/>
    </row>
    <row r="72" spans="1:6" ht="14.4">
      <c r="A72" s="413" t="s">
        <v>255</v>
      </c>
      <c r="B72" s="950" t="s">
        <v>136</v>
      </c>
      <c r="C72" s="14"/>
      <c r="D72" s="1548" t="s">
        <v>1618</v>
      </c>
      <c r="E72" s="1548"/>
      <c r="F72" s="1548"/>
    </row>
    <row r="73" spans="1:6" ht="13.2">
      <c r="A73" s="140"/>
      <c r="B73" s="140"/>
      <c r="C73" s="14"/>
      <c r="D73" s="1548"/>
      <c r="E73" s="1548"/>
      <c r="F73" s="1548"/>
    </row>
    <row r="74" spans="1:6" ht="13.2">
      <c r="A74" s="140"/>
      <c r="B74" s="140"/>
      <c r="C74" s="14"/>
      <c r="D74" s="282"/>
      <c r="E74" s="282"/>
      <c r="F74" s="282"/>
    </row>
    <row r="75" spans="1:6" ht="14.4">
      <c r="A75" s="413" t="s">
        <v>255</v>
      </c>
      <c r="B75" s="950" t="s">
        <v>1533</v>
      </c>
      <c r="C75" s="14"/>
      <c r="D75" s="1548" t="s">
        <v>1619</v>
      </c>
      <c r="E75" s="1548"/>
      <c r="F75" s="1548"/>
    </row>
    <row r="76" spans="1:6" ht="13.2">
      <c r="A76" s="140"/>
      <c r="B76" s="140"/>
      <c r="C76" s="14"/>
      <c r="D76" s="1548"/>
      <c r="E76" s="1548"/>
      <c r="F76" s="1548"/>
    </row>
    <row r="77" spans="1:6" ht="13.2">
      <c r="A77" s="140"/>
      <c r="B77" s="140"/>
      <c r="C77" s="14"/>
      <c r="D77" s="1548"/>
      <c r="E77" s="1548"/>
      <c r="F77" s="1548"/>
    </row>
    <row r="78" spans="1:6" ht="13.2">
      <c r="A78" s="140"/>
      <c r="B78" s="140"/>
      <c r="C78" s="14"/>
      <c r="D78" s="403"/>
      <c r="E78" s="282"/>
      <c r="F78" s="282"/>
    </row>
    <row r="79" spans="1:6" ht="14.4">
      <c r="A79" s="413" t="s">
        <v>255</v>
      </c>
      <c r="B79" s="950" t="s">
        <v>1533</v>
      </c>
      <c r="C79" s="14"/>
      <c r="D79" s="1543" t="s">
        <v>1620</v>
      </c>
      <c r="E79" s="1543"/>
      <c r="F79" s="1543"/>
    </row>
    <row r="80" spans="1:6" ht="13.2">
      <c r="A80" s="140"/>
      <c r="B80" s="140"/>
      <c r="C80" s="14"/>
      <c r="D80" s="1543"/>
      <c r="E80" s="1543"/>
      <c r="F80" s="1543"/>
    </row>
    <row r="81" spans="1:7" ht="13.2">
      <c r="A81" s="140"/>
      <c r="B81" s="140"/>
      <c r="C81" s="14"/>
      <c r="D81" s="282"/>
      <c r="E81" s="282"/>
      <c r="F81" s="282"/>
    </row>
    <row r="82" spans="1:7" ht="13.2">
      <c r="A82" s="1595" t="s">
        <v>1538</v>
      </c>
      <c r="B82" s="1595"/>
      <c r="C82" s="1595"/>
      <c r="D82" s="1595"/>
      <c r="E82" s="1595"/>
      <c r="F82" s="1595"/>
      <c r="G82" s="1595"/>
    </row>
    <row r="83" spans="1:7" ht="13.2">
      <c r="A83" s="140"/>
      <c r="B83" s="140"/>
      <c r="C83" s="14"/>
      <c r="D83" s="282"/>
      <c r="E83" s="2"/>
      <c r="F83" s="2"/>
      <c r="G83" s="2"/>
    </row>
    <row r="84" spans="1:7" ht="13.65" customHeight="1">
      <c r="A84" s="140"/>
      <c r="B84" s="140"/>
      <c r="C84" s="926"/>
      <c r="D84" s="1571" t="s">
        <v>1539</v>
      </c>
      <c r="E84" s="1571"/>
      <c r="F84" s="1571"/>
      <c r="G84" s="2"/>
    </row>
    <row r="85" spans="1:7" ht="13.65" customHeight="1">
      <c r="A85" s="143"/>
      <c r="B85" s="143"/>
      <c r="C85" s="14"/>
      <c r="D85" s="1543" t="s">
        <v>1740</v>
      </c>
      <c r="E85" s="1543"/>
      <c r="F85" s="1543"/>
      <c r="G85" s="2"/>
    </row>
    <row r="86" spans="1:7" ht="13.2">
      <c r="A86" s="143"/>
      <c r="B86" s="143"/>
      <c r="C86" s="14"/>
      <c r="D86" s="282"/>
      <c r="E86" s="2"/>
      <c r="F86" s="2"/>
      <c r="G86" s="2"/>
    </row>
    <row r="87" spans="1:7" ht="14.25" customHeight="1">
      <c r="A87" s="413"/>
      <c r="B87" s="950" t="s">
        <v>1533</v>
      </c>
      <c r="C87" s="14"/>
      <c r="D87" s="1550" t="s">
        <v>2122</v>
      </c>
      <c r="E87" s="1550"/>
      <c r="F87" s="1550"/>
      <c r="G87" s="2"/>
    </row>
    <row r="88" spans="1:7" ht="14.4" customHeight="1">
      <c r="A88" s="413"/>
      <c r="B88" s="14"/>
      <c r="C88" s="14"/>
      <c r="D88" s="1550"/>
      <c r="E88" s="1550"/>
      <c r="F88" s="1550"/>
      <c r="G88" s="2"/>
    </row>
    <row r="89" spans="1:7" ht="14.4">
      <c r="A89" s="413"/>
      <c r="B89" s="413"/>
      <c r="C89" s="14"/>
      <c r="D89" s="1550"/>
      <c r="E89" s="1550"/>
      <c r="F89" s="1550"/>
      <c r="G89" s="2"/>
    </row>
    <row r="90" spans="1:7" ht="14.4">
      <c r="A90" s="413"/>
      <c r="B90" s="413"/>
      <c r="C90" s="14"/>
      <c r="D90" s="1550"/>
      <c r="E90" s="1550"/>
      <c r="F90" s="1550"/>
      <c r="G90" s="2"/>
    </row>
    <row r="91" spans="1:7" ht="14.4">
      <c r="A91" s="413"/>
      <c r="B91" s="413"/>
      <c r="C91" s="14"/>
      <c r="D91" s="1550"/>
      <c r="E91" s="1550"/>
      <c r="F91" s="1550"/>
      <c r="G91" s="2"/>
    </row>
    <row r="92" spans="1:7" ht="14.4">
      <c r="A92" s="413"/>
      <c r="B92" s="413"/>
      <c r="C92" s="14"/>
      <c r="D92" s="1550"/>
      <c r="E92" s="1550"/>
      <c r="F92" s="1550"/>
      <c r="G92" s="2"/>
    </row>
    <row r="93" spans="1:7" ht="14.4">
      <c r="A93" s="413"/>
      <c r="B93" s="413"/>
      <c r="C93" s="14"/>
      <c r="D93" s="1550"/>
      <c r="E93" s="1550"/>
      <c r="F93" s="1550"/>
      <c r="G93" s="2"/>
    </row>
    <row r="94" spans="1:7" ht="14.4">
      <c r="A94" s="413"/>
      <c r="B94" s="413"/>
      <c r="C94" s="14"/>
      <c r="D94" s="1550"/>
      <c r="E94" s="1550"/>
      <c r="F94" s="1550"/>
      <c r="G94" s="2"/>
    </row>
    <row r="95" spans="1:7" ht="14.4">
      <c r="A95" s="413"/>
      <c r="B95" s="413"/>
      <c r="C95" s="14"/>
      <c r="D95" s="1550"/>
      <c r="E95" s="1550"/>
      <c r="F95" s="1550"/>
      <c r="G95" s="2"/>
    </row>
    <row r="96" spans="1:7" ht="14.4" customHeight="1">
      <c r="A96" s="413"/>
      <c r="B96" s="983" t="s">
        <v>136</v>
      </c>
      <c r="C96" s="14"/>
      <c r="D96" s="1597" t="s">
        <v>2123</v>
      </c>
      <c r="E96" s="1597"/>
      <c r="F96" s="1597"/>
      <c r="G96" s="2"/>
    </row>
    <row r="97" spans="1:7" ht="14.4">
      <c r="A97" s="413"/>
      <c r="B97" s="413"/>
      <c r="C97" s="14"/>
      <c r="D97" s="1597"/>
      <c r="E97" s="1597"/>
      <c r="F97" s="1597"/>
      <c r="G97" s="2"/>
    </row>
    <row r="98" spans="1:7" ht="14.4">
      <c r="A98" s="413"/>
      <c r="B98" s="413"/>
      <c r="C98" s="14"/>
      <c r="D98" s="1597"/>
      <c r="E98" s="1597"/>
      <c r="F98" s="1597"/>
      <c r="G98" s="2"/>
    </row>
    <row r="99" spans="1:7" ht="14.4">
      <c r="A99" s="413"/>
      <c r="B99" s="413"/>
      <c r="C99" s="14"/>
      <c r="D99" s="1597"/>
      <c r="E99" s="1597"/>
      <c r="F99" s="1597"/>
      <c r="G99" s="2"/>
    </row>
    <row r="100" spans="1:7" ht="14.4">
      <c r="A100" s="413"/>
      <c r="B100" s="413"/>
      <c r="C100" s="14"/>
      <c r="D100" s="1597"/>
      <c r="E100" s="1597"/>
      <c r="F100" s="1597"/>
      <c r="G100" s="2"/>
    </row>
    <row r="101" spans="1:7" ht="14.4">
      <c r="A101" s="413"/>
      <c r="B101" s="413"/>
      <c r="C101" s="14"/>
      <c r="D101" s="1597"/>
      <c r="E101" s="1597"/>
      <c r="F101" s="1597"/>
      <c r="G101" s="2"/>
    </row>
    <row r="102" spans="1:7" ht="14.4">
      <c r="A102" s="413"/>
      <c r="B102" s="413"/>
      <c r="C102" s="14"/>
      <c r="D102" s="1597"/>
      <c r="E102" s="1597"/>
      <c r="F102" s="1597"/>
      <c r="G102" s="2"/>
    </row>
    <row r="103" spans="1:7" ht="14.4">
      <c r="A103" s="413"/>
      <c r="B103" s="413"/>
      <c r="C103" s="14"/>
      <c r="D103" s="1597"/>
      <c r="E103" s="1597"/>
      <c r="F103" s="1597"/>
      <c r="G103" s="2"/>
    </row>
    <row r="104" spans="1:7" ht="14.4">
      <c r="A104" s="413"/>
      <c r="B104" s="413"/>
      <c r="C104" s="14"/>
      <c r="D104" s="1597"/>
      <c r="E104" s="1597"/>
      <c r="F104" s="1597"/>
      <c r="G104" s="2"/>
    </row>
    <row r="105" spans="1:7" ht="14.4">
      <c r="A105" s="413"/>
      <c r="B105" s="413"/>
      <c r="C105" s="14"/>
      <c r="D105" s="1597"/>
      <c r="E105" s="1597"/>
      <c r="F105" s="1597"/>
      <c r="G105" s="2"/>
    </row>
    <row r="106" spans="1:7" ht="14.4">
      <c r="A106" s="413"/>
      <c r="B106" s="413"/>
      <c r="C106" s="14"/>
      <c r="D106" s="1597"/>
      <c r="E106" s="1597"/>
      <c r="F106" s="1597"/>
      <c r="G106" s="2"/>
    </row>
    <row r="107" spans="1:7" ht="14.4">
      <c r="A107" s="413"/>
      <c r="B107" s="413"/>
      <c r="C107" s="14"/>
      <c r="D107" s="1597"/>
      <c r="E107" s="1597"/>
      <c r="F107" s="1597"/>
      <c r="G107" s="2"/>
    </row>
    <row r="108" spans="1:7" ht="14.4">
      <c r="A108" s="413"/>
      <c r="B108" s="413"/>
      <c r="C108" s="14"/>
      <c r="D108" s="1597"/>
      <c r="E108" s="1597"/>
      <c r="F108" s="1597"/>
      <c r="G108" s="2"/>
    </row>
    <row r="109" spans="1:7" ht="14.4">
      <c r="A109" s="413"/>
      <c r="B109" s="983" t="s">
        <v>136</v>
      </c>
      <c r="C109" s="14"/>
      <c r="D109" s="1543" t="s">
        <v>1741</v>
      </c>
      <c r="E109" s="1543"/>
      <c r="F109" s="1543"/>
      <c r="G109" s="2"/>
    </row>
    <row r="110" spans="1:7" ht="14.4">
      <c r="A110" s="413"/>
      <c r="B110" s="413"/>
      <c r="C110" s="14"/>
      <c r="D110" s="1543"/>
      <c r="E110" s="1543"/>
      <c r="F110" s="1543"/>
      <c r="G110" s="2"/>
    </row>
    <row r="111" spans="1:7" ht="14.4">
      <c r="A111" s="413"/>
      <c r="B111" s="413"/>
      <c r="C111" s="14"/>
      <c r="D111" s="1543"/>
      <c r="E111" s="1543"/>
      <c r="F111" s="1543"/>
      <c r="G111" s="2"/>
    </row>
    <row r="112" spans="1:7" ht="14.4">
      <c r="A112" s="413"/>
      <c r="B112" s="413"/>
      <c r="C112" s="14"/>
      <c r="D112" s="1543"/>
      <c r="E112" s="1543"/>
      <c r="F112" s="1543"/>
      <c r="G112" s="2"/>
    </row>
    <row r="113" spans="1:7" ht="14.4">
      <c r="A113" s="413"/>
      <c r="B113" s="413"/>
      <c r="C113" s="14"/>
      <c r="D113" s="1543"/>
      <c r="E113" s="1543"/>
      <c r="F113" s="1543"/>
      <c r="G113" s="2"/>
    </row>
    <row r="114" spans="1:7" ht="14.4">
      <c r="A114" s="413"/>
      <c r="B114" s="413"/>
      <c r="C114" s="14"/>
      <c r="D114" s="1543"/>
      <c r="E114" s="1543"/>
      <c r="F114" s="1543"/>
      <c r="G114" s="2"/>
    </row>
    <row r="115" spans="1:7" ht="14.4">
      <c r="A115" s="413"/>
      <c r="B115" s="413"/>
      <c r="C115" s="14"/>
      <c r="D115" s="1543"/>
      <c r="E115" s="1543"/>
      <c r="F115" s="1543"/>
      <c r="G115" s="2"/>
    </row>
    <row r="116" spans="1:7" ht="14.4">
      <c r="A116" s="413"/>
      <c r="B116" s="413"/>
      <c r="C116" s="14"/>
      <c r="D116" s="1543"/>
      <c r="E116" s="1543"/>
      <c r="F116" s="1543"/>
      <c r="G116" s="2"/>
    </row>
    <row r="117" spans="1:7" ht="12.75" customHeight="1">
      <c r="A117" s="413"/>
      <c r="B117" s="950" t="s">
        <v>1533</v>
      </c>
      <c r="C117" s="14"/>
      <c r="D117" s="1543" t="s">
        <v>1742</v>
      </c>
      <c r="E117" s="1543"/>
      <c r="F117" s="1543"/>
    </row>
    <row r="118" spans="1:7" ht="13.2">
      <c r="A118" s="140"/>
      <c r="B118" s="140"/>
      <c r="C118" s="14"/>
      <c r="D118" s="1543"/>
      <c r="E118" s="1543"/>
      <c r="F118" s="1543"/>
    </row>
    <row r="119" spans="1:7" ht="13.2">
      <c r="A119" s="140"/>
      <c r="B119" s="140"/>
      <c r="C119" s="14"/>
      <c r="D119" s="1543"/>
      <c r="E119" s="1543"/>
      <c r="F119" s="1543"/>
    </row>
    <row r="120" spans="1:7" ht="13.2">
      <c r="A120" s="140"/>
      <c r="B120" s="140"/>
      <c r="C120" s="14"/>
      <c r="D120" s="1543"/>
      <c r="E120" s="1543"/>
      <c r="F120" s="1543"/>
    </row>
    <row r="121" spans="1:7" ht="26.85" customHeight="1">
      <c r="A121" s="140"/>
      <c r="B121" s="140"/>
      <c r="C121" s="14"/>
      <c r="D121" s="1543"/>
      <c r="E121" s="1543"/>
      <c r="F121" s="1543"/>
    </row>
    <row r="122" spans="1:7" ht="13.2">
      <c r="A122" s="140"/>
      <c r="B122" s="140"/>
      <c r="C122" s="14"/>
      <c r="D122" s="282"/>
      <c r="E122" s="282"/>
      <c r="F122" s="282"/>
    </row>
    <row r="123" spans="1:7" ht="14.4">
      <c r="A123" s="413"/>
      <c r="B123" s="950" t="s">
        <v>136</v>
      </c>
      <c r="C123" s="14"/>
      <c r="D123" s="1548" t="s">
        <v>1743</v>
      </c>
      <c r="E123" s="1548"/>
      <c r="F123" s="1548"/>
    </row>
    <row r="124" spans="1:7" s="515" customFormat="1" ht="14.1" customHeight="1">
      <c r="A124" s="505"/>
      <c r="B124" s="505"/>
      <c r="C124" s="506"/>
      <c r="D124" s="1548"/>
      <c r="E124" s="1548"/>
      <c r="F124" s="1548"/>
      <c r="G124" s="576"/>
    </row>
    <row r="125" spans="1:7" ht="14.1" customHeight="1">
      <c r="A125" s="140"/>
      <c r="B125" s="140"/>
      <c r="C125" s="14"/>
      <c r="D125" s="1548"/>
      <c r="E125" s="1548"/>
      <c r="F125" s="1548"/>
    </row>
    <row r="126" spans="1:7" ht="14.1" customHeight="1">
      <c r="A126" s="140"/>
      <c r="B126" s="140"/>
      <c r="C126" s="14"/>
      <c r="D126" s="1548"/>
      <c r="E126" s="1548"/>
      <c r="F126" s="1548"/>
    </row>
    <row r="127" spans="1:7" ht="14.1" customHeight="1">
      <c r="A127" s="140"/>
      <c r="B127" s="140"/>
      <c r="C127" s="14"/>
      <c r="D127" s="1548"/>
      <c r="E127" s="1548"/>
      <c r="F127" s="1548"/>
    </row>
    <row r="128" spans="1:7" ht="14.1" customHeight="1">
      <c r="A128" s="140"/>
      <c r="B128" s="140"/>
      <c r="C128" s="14"/>
      <c r="D128" s="1548"/>
      <c r="E128" s="1548"/>
      <c r="F128" s="1548"/>
    </row>
    <row r="129" spans="1:7" ht="14.1" customHeight="1">
      <c r="A129" s="984"/>
      <c r="B129" s="984"/>
      <c r="C129" s="14"/>
      <c r="D129" s="1548"/>
      <c r="E129" s="1548"/>
      <c r="F129" s="1548"/>
      <c r="G129" s="2"/>
    </row>
    <row r="130" spans="1:7" ht="14.1" customHeight="1">
      <c r="A130" s="984"/>
      <c r="B130" s="984"/>
      <c r="C130" s="14"/>
      <c r="D130" s="1548"/>
      <c r="E130" s="1548"/>
      <c r="F130" s="1548"/>
      <c r="G130" s="2"/>
    </row>
    <row r="131" spans="1:7" ht="14.1" customHeight="1">
      <c r="A131" s="984"/>
      <c r="B131" s="984"/>
      <c r="C131" s="14"/>
      <c r="D131" s="1548"/>
      <c r="E131" s="1548"/>
      <c r="F131" s="1548"/>
      <c r="G131" s="2"/>
    </row>
    <row r="132" spans="1:7" ht="14.1" customHeight="1">
      <c r="A132" s="984"/>
      <c r="B132" s="984"/>
      <c r="C132" s="14"/>
      <c r="D132" s="1548"/>
      <c r="E132" s="1548"/>
      <c r="F132" s="1548"/>
      <c r="G132" s="2"/>
    </row>
    <row r="133" spans="1:7" ht="17.25" customHeight="1">
      <c r="A133" s="984"/>
      <c r="B133" s="984"/>
      <c r="C133" s="14"/>
      <c r="D133" s="1548"/>
      <c r="E133" s="1548"/>
      <c r="F133" s="1548"/>
      <c r="G133" s="2"/>
    </row>
    <row r="134" spans="1:7" ht="25.5" hidden="1" customHeight="1">
      <c r="A134" s="984"/>
      <c r="B134" s="984"/>
      <c r="C134" s="14"/>
      <c r="D134" s="1548"/>
      <c r="E134" s="1548"/>
      <c r="F134" s="1548"/>
      <c r="G134" s="2"/>
    </row>
    <row r="135" spans="1:7" ht="14.1" customHeight="1">
      <c r="A135" s="984"/>
      <c r="B135" s="984"/>
      <c r="C135" s="14"/>
      <c r="D135" s="282"/>
      <c r="E135" s="282"/>
      <c r="F135" s="282"/>
      <c r="G135" s="2"/>
    </row>
    <row r="136" spans="1:7" ht="14.1" customHeight="1">
      <c r="A136" s="140"/>
      <c r="B136" s="950" t="s">
        <v>136</v>
      </c>
      <c r="C136" s="14"/>
      <c r="D136" s="1550" t="s">
        <v>1957</v>
      </c>
      <c r="E136" s="1543"/>
      <c r="F136" s="1543"/>
      <c r="G136" s="2"/>
    </row>
    <row r="137" spans="1:7" ht="14.1" customHeight="1">
      <c r="A137" s="140"/>
      <c r="B137" s="140"/>
      <c r="C137" s="14"/>
      <c r="D137" s="1543"/>
      <c r="E137" s="1543"/>
      <c r="F137" s="1543"/>
      <c r="G137" s="2"/>
    </row>
    <row r="138" spans="1:7" ht="14.1" customHeight="1">
      <c r="A138" s="140"/>
      <c r="B138" s="140"/>
      <c r="C138" s="14"/>
      <c r="D138" s="1543"/>
      <c r="E138" s="1543"/>
      <c r="F138" s="1543"/>
      <c r="G138" s="2"/>
    </row>
    <row r="139" spans="1:7" ht="14.1" customHeight="1">
      <c r="A139" s="150"/>
      <c r="B139" s="150"/>
      <c r="D139" s="1543"/>
      <c r="E139" s="1543"/>
      <c r="F139" s="1543"/>
      <c r="G139" s="2"/>
    </row>
    <row r="140" spans="1:7" ht="14.1" customHeight="1">
      <c r="A140" s="140"/>
      <c r="B140" s="140"/>
      <c r="C140" s="14"/>
      <c r="D140" s="1543"/>
      <c r="E140" s="1543"/>
      <c r="F140" s="1543"/>
      <c r="G140" s="2"/>
    </row>
    <row r="141" spans="1:7" ht="14.1" customHeight="1">
      <c r="A141" s="33"/>
      <c r="B141" s="33"/>
      <c r="C141" s="14"/>
      <c r="D141" s="1543"/>
      <c r="E141" s="1543"/>
      <c r="F141" s="1543"/>
      <c r="G141" s="2"/>
    </row>
    <row r="142" spans="1:7" ht="14.1" customHeight="1">
      <c r="A142" s="33"/>
      <c r="B142" s="33"/>
      <c r="C142" s="14"/>
      <c r="D142" s="1543"/>
      <c r="E142" s="1543"/>
      <c r="F142" s="1543"/>
      <c r="G142" s="2"/>
    </row>
    <row r="143" spans="1:7" ht="14.1" customHeight="1">
      <c r="A143" s="985"/>
      <c r="B143" s="985"/>
      <c r="C143" s="14"/>
      <c r="D143" s="1543"/>
      <c r="E143" s="1543"/>
      <c r="F143" s="1543"/>
      <c r="G143" s="2"/>
    </row>
    <row r="144" spans="1:7" ht="14.1" customHeight="1">
      <c r="A144" s="985"/>
      <c r="B144" s="985"/>
      <c r="C144" s="14"/>
      <c r="D144" s="1543"/>
      <c r="E144" s="1543"/>
      <c r="F144" s="1543"/>
      <c r="G144" s="2"/>
    </row>
    <row r="145" spans="1:7" ht="14.1" customHeight="1">
      <c r="A145" s="985"/>
      <c r="B145" s="985"/>
      <c r="C145" s="14"/>
      <c r="D145" s="1543"/>
      <c r="E145" s="1543"/>
      <c r="F145" s="1543"/>
      <c r="G145" s="2"/>
    </row>
    <row r="146" spans="1:7" ht="14.1" customHeight="1">
      <c r="A146" s="1089"/>
      <c r="B146" s="1089"/>
      <c r="C146" s="14"/>
      <c r="D146" s="1543"/>
      <c r="E146" s="1543"/>
      <c r="F146" s="1543"/>
      <c r="G146" s="2"/>
    </row>
    <row r="147" spans="1:7" ht="14.1" customHeight="1">
      <c r="A147" s="1089"/>
      <c r="B147" s="1089"/>
      <c r="C147" s="14"/>
      <c r="D147" s="1543"/>
      <c r="E147" s="1543"/>
      <c r="F147" s="1543"/>
      <c r="G147" s="2"/>
    </row>
    <row r="148" spans="1:7" ht="14.1" customHeight="1">
      <c r="A148" s="985"/>
      <c r="B148" s="985"/>
      <c r="C148" s="14"/>
      <c r="D148" s="1543"/>
      <c r="E148" s="1543"/>
      <c r="F148" s="1543"/>
      <c r="G148" s="2"/>
    </row>
    <row r="149" spans="1:7" ht="14.1" customHeight="1">
      <c r="A149" s="985"/>
      <c r="B149" s="985"/>
      <c r="C149" s="14"/>
      <c r="D149" s="1543"/>
      <c r="E149" s="1543"/>
      <c r="F149" s="1543"/>
      <c r="G149" s="2"/>
    </row>
    <row r="150" spans="1:7" ht="14.1" customHeight="1">
      <c r="A150" s="985"/>
      <c r="B150" s="985"/>
      <c r="C150" s="14"/>
      <c r="D150" s="1543"/>
      <c r="E150" s="1543"/>
      <c r="F150" s="1543"/>
      <c r="G150" s="2"/>
    </row>
    <row r="151" spans="1:7" ht="14.1" customHeight="1">
      <c r="A151" s="985"/>
      <c r="B151" s="985"/>
      <c r="C151" s="14"/>
      <c r="D151" s="1543"/>
      <c r="E151" s="1543"/>
      <c r="F151" s="1543"/>
      <c r="G151" s="2"/>
    </row>
    <row r="152" spans="1:7" ht="14.1" customHeight="1">
      <c r="A152" s="985"/>
      <c r="B152" s="985"/>
      <c r="C152" s="14"/>
      <c r="D152" s="1543"/>
      <c r="E152" s="1543"/>
      <c r="F152" s="1543"/>
      <c r="G152" s="2"/>
    </row>
    <row r="153" spans="1:7" ht="14.1" customHeight="1">
      <c r="A153" s="985"/>
      <c r="B153" s="985"/>
      <c r="C153" s="14"/>
      <c r="D153" s="1543"/>
      <c r="E153" s="1543"/>
      <c r="F153" s="1543"/>
      <c r="G153" s="2"/>
    </row>
    <row r="154" spans="1:7" ht="14.1" customHeight="1">
      <c r="A154" s="1104"/>
      <c r="B154" s="1104"/>
      <c r="C154" s="14"/>
      <c r="D154" s="1594" t="s">
        <v>1958</v>
      </c>
      <c r="E154" s="1594"/>
      <c r="F154" s="1594"/>
      <c r="G154" s="2"/>
    </row>
    <row r="155" spans="1:7" ht="14.1" customHeight="1">
      <c r="A155" s="985"/>
      <c r="B155" s="985"/>
      <c r="C155" s="14"/>
      <c r="D155" s="981"/>
      <c r="E155" s="282"/>
      <c r="F155" s="282"/>
      <c r="G155" s="2"/>
    </row>
    <row r="156" spans="1:7" ht="14.1" customHeight="1">
      <c r="A156" s="413"/>
      <c r="B156" s="950" t="s">
        <v>1533</v>
      </c>
      <c r="C156" s="14"/>
      <c r="D156" s="1598" t="s">
        <v>1992</v>
      </c>
      <c r="E156" s="1599"/>
      <c r="F156" s="1599"/>
      <c r="G156" s="2"/>
    </row>
    <row r="157" spans="1:7" ht="14.1" customHeight="1">
      <c r="A157" s="413"/>
      <c r="B157" s="1131"/>
      <c r="C157" s="14"/>
      <c r="D157" s="1599"/>
      <c r="E157" s="1599"/>
      <c r="F157" s="1599"/>
      <c r="G157" s="2"/>
    </row>
    <row r="158" spans="1:7" ht="14.1" customHeight="1">
      <c r="A158" s="33"/>
      <c r="B158" s="33"/>
      <c r="C158" s="14"/>
      <c r="D158" s="1599"/>
      <c r="E158" s="1599"/>
      <c r="F158" s="1599"/>
      <c r="G158" s="2"/>
    </row>
    <row r="159" spans="1:7" ht="14.1" customHeight="1">
      <c r="A159" s="33"/>
      <c r="B159" s="33"/>
      <c r="C159" s="14"/>
      <c r="D159" s="287"/>
      <c r="E159" s="282"/>
      <c r="F159" s="282"/>
      <c r="G159" s="2"/>
    </row>
    <row r="160" spans="1:7" ht="14.1" customHeight="1">
      <c r="A160" s="413"/>
      <c r="B160" s="950" t="s">
        <v>1533</v>
      </c>
      <c r="C160" s="14"/>
      <c r="D160" s="1600" t="s">
        <v>1744</v>
      </c>
      <c r="E160" s="1600"/>
      <c r="F160" s="1600"/>
      <c r="G160" s="2"/>
    </row>
    <row r="161" spans="1:7" ht="14.1" customHeight="1">
      <c r="A161" s="33"/>
      <c r="B161" s="33"/>
      <c r="C161" s="14"/>
      <c r="D161" s="1600"/>
      <c r="E161" s="1600"/>
      <c r="F161" s="1600"/>
    </row>
    <row r="162" spans="1:7" ht="14.1" customHeight="1">
      <c r="A162" s="33"/>
      <c r="B162" s="33"/>
      <c r="C162" s="14"/>
      <c r="D162" s="1600"/>
      <c r="E162" s="1600"/>
      <c r="F162" s="1600"/>
    </row>
    <row r="163" spans="1:7" ht="14.1" customHeight="1">
      <c r="A163" s="33"/>
      <c r="B163" s="33"/>
      <c r="C163" s="14"/>
      <c r="D163" s="1600"/>
      <c r="E163" s="1600"/>
      <c r="F163" s="1600"/>
    </row>
    <row r="164" spans="1:7" ht="14.1" customHeight="1">
      <c r="A164" s="33"/>
      <c r="B164" s="33"/>
      <c r="C164" s="14"/>
      <c r="D164" s="287"/>
      <c r="E164" s="282"/>
      <c r="F164" s="282"/>
    </row>
    <row r="165" spans="1:7" ht="14.1" customHeight="1">
      <c r="A165" s="592"/>
      <c r="B165" s="950" t="s">
        <v>1533</v>
      </c>
      <c r="C165" s="591"/>
      <c r="D165" s="1590" t="s">
        <v>1745</v>
      </c>
      <c r="E165" s="1590"/>
      <c r="F165" s="1590"/>
      <c r="G165" s="714"/>
    </row>
    <row r="166" spans="1:7" ht="14.1" customHeight="1">
      <c r="A166" s="592"/>
      <c r="B166" s="592"/>
      <c r="C166" s="591"/>
      <c r="D166" s="1590"/>
      <c r="E166" s="1590"/>
      <c r="F166" s="1590"/>
      <c r="G166" s="714"/>
    </row>
    <row r="167" spans="1:7" ht="14.1" customHeight="1">
      <c r="A167" s="592"/>
      <c r="B167" s="592"/>
      <c r="C167" s="591"/>
      <c r="D167" s="1590"/>
      <c r="E167" s="1590"/>
      <c r="F167" s="1590"/>
      <c r="G167" s="714"/>
    </row>
    <row r="168" spans="1:7" ht="13.2">
      <c r="A168" s="592"/>
      <c r="B168" s="592"/>
      <c r="C168" s="591"/>
      <c r="D168" s="594"/>
      <c r="E168" s="582"/>
      <c r="F168" s="582"/>
      <c r="G168" s="714"/>
    </row>
    <row r="169" spans="1:7" ht="13.2">
      <c r="A169" s="1595" t="s">
        <v>1541</v>
      </c>
      <c r="B169" s="1595"/>
      <c r="C169" s="1595"/>
      <c r="D169" s="1595"/>
      <c r="E169" s="1595"/>
      <c r="F169" s="1595"/>
      <c r="G169" s="1595"/>
    </row>
    <row r="170" spans="1:7" ht="13.2">
      <c r="A170" s="140"/>
      <c r="B170" s="140"/>
      <c r="C170" s="14"/>
      <c r="D170" s="287"/>
      <c r="E170" s="282"/>
      <c r="F170" s="282"/>
    </row>
    <row r="171" spans="1:7" ht="13.2">
      <c r="A171" s="140"/>
      <c r="B171" s="140"/>
      <c r="C171" s="926"/>
      <c r="D171" s="1586" t="s">
        <v>1540</v>
      </c>
      <c r="E171" s="1586"/>
      <c r="F171" s="1586"/>
    </row>
    <row r="172" spans="1:7" ht="13.2">
      <c r="A172" s="414"/>
      <c r="B172" s="414"/>
      <c r="C172" s="298"/>
      <c r="D172" s="1591" t="s">
        <v>1576</v>
      </c>
      <c r="E172" s="1591"/>
      <c r="F172" s="1591"/>
    </row>
    <row r="173" spans="1:7" ht="13.2">
      <c r="A173" s="415"/>
      <c r="B173" s="415"/>
      <c r="C173" s="299"/>
      <c r="D173" s="282"/>
      <c r="E173" s="282"/>
      <c r="F173" s="282"/>
    </row>
    <row r="174" spans="1:7" ht="14.4">
      <c r="A174" s="413"/>
      <c r="B174" s="950" t="s">
        <v>136</v>
      </c>
      <c r="C174" s="302"/>
      <c r="D174" s="1592" t="s">
        <v>1960</v>
      </c>
      <c r="E174" s="1593"/>
      <c r="F174" s="1593"/>
      <c r="G174" s="288"/>
    </row>
    <row r="175" spans="1:7" ht="14.4">
      <c r="A175" s="413"/>
      <c r="B175" s="417"/>
      <c r="C175" s="302"/>
      <c r="D175" s="1294"/>
      <c r="E175" s="1293"/>
      <c r="F175" s="1293"/>
      <c r="G175" s="288"/>
    </row>
    <row r="176" spans="1:7" ht="14.4">
      <c r="A176" s="413"/>
      <c r="B176" s="950" t="s">
        <v>136</v>
      </c>
      <c r="C176" s="302"/>
      <c r="D176" s="1593" t="s">
        <v>1746</v>
      </c>
      <c r="E176" s="1593"/>
      <c r="F176" s="1593"/>
      <c r="G176" s="288"/>
    </row>
    <row r="177" spans="1:7" ht="14.4">
      <c r="A177" s="413"/>
      <c r="B177" s="417"/>
      <c r="C177" s="302"/>
      <c r="D177" s="1293"/>
      <c r="E177" s="1293"/>
      <c r="F177" s="1293"/>
      <c r="G177" s="288"/>
    </row>
    <row r="178" spans="1:7" ht="14.4">
      <c r="A178" s="413"/>
      <c r="B178" s="1295" t="s">
        <v>136</v>
      </c>
      <c r="C178" s="302"/>
      <c r="D178" s="1596" t="s">
        <v>2049</v>
      </c>
      <c r="E178" s="1596"/>
      <c r="F178" s="1596"/>
      <c r="G178" s="288"/>
    </row>
    <row r="179" spans="1:7" ht="13.65" customHeight="1">
      <c r="A179" s="413"/>
      <c r="B179" s="417"/>
      <c r="C179" s="302"/>
      <c r="D179" s="1297" t="s">
        <v>1004</v>
      </c>
      <c r="E179" s="1515" t="s">
        <v>2051</v>
      </c>
      <c r="F179" s="1515"/>
      <c r="G179" s="288"/>
    </row>
    <row r="180" spans="1:7" ht="14.4">
      <c r="A180" s="413"/>
      <c r="B180" s="417"/>
      <c r="C180" s="302"/>
      <c r="D180" s="1296"/>
      <c r="E180" s="1515"/>
      <c r="F180" s="1515"/>
      <c r="G180" s="288"/>
    </row>
    <row r="181" spans="1:7" ht="14.4">
      <c r="A181" s="413"/>
      <c r="B181" s="417"/>
      <c r="C181" s="302"/>
      <c r="D181" s="1296"/>
      <c r="E181" s="1515"/>
      <c r="F181" s="1515"/>
      <c r="G181" s="288"/>
    </row>
    <row r="182" spans="1:7" ht="14.4">
      <c r="A182" s="413"/>
      <c r="B182" s="417"/>
      <c r="C182" s="302"/>
      <c r="D182" s="2"/>
      <c r="E182" s="1515"/>
      <c r="F182" s="1515"/>
      <c r="G182" s="288"/>
    </row>
    <row r="183" spans="1:7" ht="13.65" customHeight="1">
      <c r="A183" s="413"/>
      <c r="B183" s="417"/>
      <c r="C183" s="302"/>
      <c r="D183" s="1296" t="s">
        <v>1005</v>
      </c>
      <c r="E183" s="1550" t="s">
        <v>2050</v>
      </c>
      <c r="F183" s="1550"/>
      <c r="G183" s="288"/>
    </row>
    <row r="184" spans="1:7" ht="13.65" customHeight="1">
      <c r="A184" s="413"/>
      <c r="B184" s="417"/>
      <c r="C184" s="302"/>
      <c r="D184" s="1296"/>
      <c r="E184" s="1550"/>
      <c r="F184" s="1550"/>
      <c r="G184" s="288"/>
    </row>
    <row r="185" spans="1:7" ht="13.65" customHeight="1">
      <c r="A185" s="413"/>
      <c r="B185" s="417"/>
      <c r="C185" s="302"/>
      <c r="D185" s="1296"/>
      <c r="E185" s="1550"/>
      <c r="F185" s="1550"/>
      <c r="G185" s="288"/>
    </row>
    <row r="186" spans="1:7" ht="13.65" customHeight="1">
      <c r="A186" s="413"/>
      <c r="B186" s="417"/>
      <c r="C186" s="302"/>
      <c r="D186" s="1296"/>
      <c r="E186" s="1550"/>
      <c r="F186" s="1550"/>
      <c r="G186" s="288"/>
    </row>
    <row r="187" spans="1:7" ht="13.65" customHeight="1">
      <c r="A187" s="413"/>
      <c r="B187" s="417"/>
      <c r="C187" s="302"/>
      <c r="D187" s="1296"/>
      <c r="E187" s="1550"/>
      <c r="F187" s="1550"/>
      <c r="G187" s="288"/>
    </row>
    <row r="188" spans="1:7" ht="14.4">
      <c r="A188" s="413"/>
      <c r="B188" s="417"/>
      <c r="C188" s="302"/>
      <c r="D188" s="2"/>
      <c r="E188" s="1550"/>
      <c r="F188" s="1550"/>
      <c r="G188" s="288"/>
    </row>
    <row r="189" spans="1:7" ht="14.4">
      <c r="A189" s="413"/>
      <c r="B189" s="417"/>
      <c r="C189" s="302"/>
      <c r="D189" s="2"/>
      <c r="E189" s="1550"/>
      <c r="F189" s="1550"/>
      <c r="G189" s="288"/>
    </row>
    <row r="190" spans="1:7" ht="13.2">
      <c r="A190" s="417"/>
      <c r="B190" s="417"/>
      <c r="C190" s="302"/>
      <c r="D190" s="282"/>
      <c r="E190" s="283"/>
      <c r="F190" s="283"/>
      <c r="G190" s="288"/>
    </row>
    <row r="191" spans="1:7" ht="14.4">
      <c r="A191" s="413"/>
      <c r="B191" s="950" t="s">
        <v>136</v>
      </c>
      <c r="C191" s="302"/>
      <c r="D191" s="1522" t="s">
        <v>1747</v>
      </c>
      <c r="E191" s="1522"/>
      <c r="F191" s="1522"/>
      <c r="G191" s="288"/>
    </row>
    <row r="192" spans="1:7" ht="14.4">
      <c r="A192" s="413"/>
      <c r="B192" s="413"/>
      <c r="C192" s="302"/>
      <c r="D192" s="1522"/>
      <c r="E192" s="1522"/>
      <c r="F192" s="1522"/>
      <c r="G192" s="288"/>
    </row>
    <row r="193" spans="1:7" ht="14.4">
      <c r="A193" s="413"/>
      <c r="B193" s="413"/>
      <c r="C193" s="302"/>
      <c r="D193" s="1522"/>
      <c r="E193" s="1522"/>
      <c r="F193" s="1522"/>
      <c r="G193" s="288"/>
    </row>
    <row r="194" spans="1:7" ht="14.4">
      <c r="A194" s="413"/>
      <c r="B194" s="413"/>
      <c r="C194" s="302"/>
      <c r="D194" s="1522"/>
      <c r="E194" s="1522"/>
      <c r="F194" s="1522"/>
      <c r="G194" s="288"/>
    </row>
    <row r="195" spans="1:7" ht="13.2">
      <c r="A195" s="417"/>
      <c r="B195" s="417"/>
      <c r="C195" s="302"/>
      <c r="D195" s="1594" t="s">
        <v>2048</v>
      </c>
      <c r="E195" s="1594"/>
      <c r="F195" s="1594"/>
      <c r="G195" s="288"/>
    </row>
    <row r="196" spans="1:7" ht="13.2">
      <c r="A196" s="417"/>
      <c r="B196" s="417"/>
      <c r="C196" s="302"/>
      <c r="D196" s="987"/>
      <c r="E196" s="987"/>
      <c r="F196" s="987"/>
      <c r="G196" s="288"/>
    </row>
    <row r="197" spans="1:7" ht="14.4">
      <c r="A197" s="413"/>
      <c r="B197" s="950" t="s">
        <v>136</v>
      </c>
      <c r="C197" s="302"/>
      <c r="D197" s="1578" t="s">
        <v>1748</v>
      </c>
      <c r="E197" s="1578"/>
      <c r="F197" s="1578"/>
      <c r="G197" s="288"/>
    </row>
    <row r="198" spans="1:7" ht="13.2">
      <c r="A198" s="417"/>
      <c r="B198" s="417"/>
      <c r="C198" s="302"/>
      <c r="D198" s="283"/>
      <c r="E198" s="283"/>
      <c r="F198" s="283"/>
      <c r="G198" s="288"/>
    </row>
    <row r="199" spans="1:7" ht="13.2">
      <c r="A199" s="1595" t="s">
        <v>1543</v>
      </c>
      <c r="B199" s="1595"/>
      <c r="C199" s="1595"/>
      <c r="D199" s="1595"/>
      <c r="E199" s="1595"/>
      <c r="F199" s="1595"/>
      <c r="G199" s="1595"/>
    </row>
    <row r="200" spans="1:7" ht="13.2">
      <c r="A200" s="417"/>
      <c r="B200" s="417"/>
      <c r="C200" s="302"/>
      <c r="D200" s="282"/>
      <c r="E200" s="283"/>
      <c r="F200" s="283"/>
      <c r="G200" s="288"/>
    </row>
    <row r="201" spans="1:7" ht="13.2">
      <c r="A201" s="140"/>
      <c r="B201" s="140"/>
      <c r="C201" s="927"/>
      <c r="D201" s="1630" t="s">
        <v>1542</v>
      </c>
      <c r="E201" s="1630"/>
      <c r="F201" s="1630"/>
      <c r="G201" s="288"/>
    </row>
    <row r="202" spans="1:7" ht="13.2">
      <c r="A202" s="928"/>
      <c r="B202" s="928"/>
      <c r="C202" s="927"/>
      <c r="D202" s="1630" t="s">
        <v>763</v>
      </c>
      <c r="E202" s="1630"/>
      <c r="F202" s="1630"/>
      <c r="G202" s="288"/>
    </row>
    <row r="203" spans="1:7" ht="13.2">
      <c r="A203" s="414"/>
      <c r="B203" s="414"/>
      <c r="C203" s="298"/>
      <c r="D203" s="1593" t="s">
        <v>1577</v>
      </c>
      <c r="E203" s="1593"/>
      <c r="F203" s="1593"/>
      <c r="G203" s="288"/>
    </row>
    <row r="204" spans="1:7" ht="13.2">
      <c r="A204" s="414"/>
      <c r="B204" s="414"/>
      <c r="C204" s="298"/>
      <c r="D204" s="283"/>
      <c r="E204" s="283"/>
      <c r="F204" s="283"/>
      <c r="G204" s="288"/>
    </row>
    <row r="205" spans="1:7" ht="13.2">
      <c r="A205" s="414"/>
      <c r="B205" s="414"/>
      <c r="C205" s="298"/>
      <c r="D205" s="1611" t="s">
        <v>1587</v>
      </c>
      <c r="E205" s="1611"/>
      <c r="F205" s="1611"/>
      <c r="G205" s="288"/>
    </row>
    <row r="206" spans="1:7" ht="13.2">
      <c r="A206" s="414"/>
      <c r="B206" s="414"/>
      <c r="C206" s="298"/>
      <c r="D206" s="1611"/>
      <c r="E206" s="1611"/>
      <c r="F206" s="1611"/>
      <c r="G206" s="288"/>
    </row>
    <row r="207" spans="1:7" ht="13.2">
      <c r="A207" s="414"/>
      <c r="B207" s="414"/>
      <c r="C207" s="298"/>
      <c r="D207" s="1611"/>
      <c r="E207" s="1611"/>
      <c r="F207" s="1611"/>
      <c r="G207" s="288"/>
    </row>
    <row r="208" spans="1:7" ht="13.2">
      <c r="A208" s="414"/>
      <c r="B208" s="414"/>
      <c r="C208" s="298"/>
      <c r="D208" s="1611"/>
      <c r="E208" s="1611"/>
      <c r="F208" s="1611"/>
      <c r="G208" s="288"/>
    </row>
    <row r="209" spans="1:7" ht="13.2">
      <c r="A209" s="414"/>
      <c r="B209" s="414"/>
      <c r="C209" s="298"/>
      <c r="D209" s="288"/>
      <c r="E209" s="283"/>
      <c r="F209" s="283"/>
      <c r="G209" s="288"/>
    </row>
    <row r="210" spans="1:7" ht="13.2">
      <c r="A210" s="414"/>
      <c r="B210" s="414"/>
      <c r="C210" s="298"/>
      <c r="D210" s="1629" t="s">
        <v>2053</v>
      </c>
      <c r="E210" s="1611"/>
      <c r="F210" s="1611"/>
      <c r="G210" s="288"/>
    </row>
    <row r="211" spans="1:7" ht="13.2">
      <c r="A211" s="414"/>
      <c r="B211" s="414"/>
      <c r="C211" s="298"/>
      <c r="D211" s="1611"/>
      <c r="E211" s="1611"/>
      <c r="F211" s="1611"/>
      <c r="G211" s="288"/>
    </row>
    <row r="212" spans="1:7" ht="13.2">
      <c r="A212" s="414"/>
      <c r="B212" s="414"/>
      <c r="C212" s="298"/>
      <c r="D212" s="1611"/>
      <c r="E212" s="1611"/>
      <c r="F212" s="1611"/>
      <c r="G212" s="288"/>
    </row>
    <row r="213" spans="1:7" ht="13.2">
      <c r="A213" s="414"/>
      <c r="B213" s="414"/>
      <c r="C213" s="298"/>
      <c r="D213" s="1611"/>
      <c r="E213" s="1611"/>
      <c r="F213" s="1611"/>
      <c r="G213" s="288"/>
    </row>
    <row r="214" spans="1:7" ht="13.2">
      <c r="A214" s="414"/>
      <c r="B214" s="414"/>
      <c r="C214" s="298"/>
      <c r="D214" s="1611"/>
      <c r="E214" s="1611"/>
      <c r="F214" s="1611"/>
      <c r="G214" s="288"/>
    </row>
    <row r="215" spans="1:7" ht="13.2">
      <c r="A215" s="414"/>
      <c r="B215" s="414"/>
      <c r="C215" s="298"/>
      <c r="D215" s="1611"/>
      <c r="E215" s="1611"/>
      <c r="F215" s="1611"/>
      <c r="G215" s="288"/>
    </row>
    <row r="216" spans="1:7" ht="13.2">
      <c r="A216" s="415"/>
      <c r="B216" s="415"/>
      <c r="C216" s="299"/>
      <c r="D216" s="282"/>
      <c r="E216" s="283"/>
      <c r="F216" s="283"/>
      <c r="G216" s="288"/>
    </row>
    <row r="217" spans="1:7" ht="14.4" customHeight="1">
      <c r="A217" s="413"/>
      <c r="B217" s="950" t="s">
        <v>1533</v>
      </c>
      <c r="C217" s="299"/>
      <c r="D217" s="1544" t="s">
        <v>322</v>
      </c>
      <c r="E217" s="1544"/>
      <c r="F217" s="1544"/>
      <c r="G217" s="288"/>
    </row>
    <row r="218" spans="1:7" ht="14.4">
      <c r="A218" s="413"/>
      <c r="B218" s="14"/>
      <c r="C218" s="299"/>
      <c r="D218" s="1562" t="s">
        <v>1230</v>
      </c>
      <c r="E218" s="1562"/>
      <c r="F218" s="1562"/>
      <c r="G218" s="288"/>
    </row>
    <row r="219" spans="1:7" ht="14.4">
      <c r="A219" s="413"/>
      <c r="B219" s="413"/>
      <c r="C219" s="299"/>
      <c r="D219" s="956" t="s">
        <v>1595</v>
      </c>
      <c r="E219" s="1610" t="s">
        <v>1594</v>
      </c>
      <c r="F219" s="1610"/>
      <c r="G219" s="288"/>
    </row>
    <row r="220" spans="1:7" ht="13.2">
      <c r="A220" s="417"/>
      <c r="B220" s="417"/>
      <c r="C220" s="302"/>
      <c r="D220" s="1618" t="s">
        <v>1570</v>
      </c>
      <c r="E220" s="1562"/>
      <c r="F220" s="1562"/>
      <c r="G220" s="288"/>
    </row>
    <row r="221" spans="1:7" ht="13.2">
      <c r="A221" s="417"/>
      <c r="B221" s="417"/>
      <c r="C221" s="302"/>
      <c r="D221" s="283"/>
      <c r="E221" s="283"/>
      <c r="F221" s="283"/>
      <c r="G221" s="288"/>
    </row>
    <row r="222" spans="1:7" ht="14.4">
      <c r="A222" s="413"/>
      <c r="B222" s="950" t="s">
        <v>136</v>
      </c>
      <c r="C222" s="302"/>
      <c r="D222" s="1562" t="s">
        <v>323</v>
      </c>
      <c r="E222" s="1562"/>
      <c r="F222" s="1562"/>
      <c r="G222" s="288"/>
    </row>
    <row r="223" spans="1:7" ht="14.4">
      <c r="A223" s="413"/>
      <c r="B223" s="14"/>
      <c r="C223" s="302"/>
      <c r="D223" s="1544" t="s">
        <v>1230</v>
      </c>
      <c r="E223" s="1544"/>
      <c r="F223" s="1544"/>
      <c r="G223" s="288"/>
    </row>
    <row r="224" spans="1:7" ht="14.4">
      <c r="A224" s="413"/>
      <c r="B224" s="413"/>
      <c r="C224" s="302"/>
      <c r="D224" s="300" t="s">
        <v>1596</v>
      </c>
      <c r="E224" s="1617" t="s">
        <v>1597</v>
      </c>
      <c r="F224" s="1617"/>
      <c r="G224" s="288"/>
    </row>
    <row r="225" spans="1:7" ht="13.2">
      <c r="A225" s="417"/>
      <c r="B225" s="417"/>
      <c r="C225" s="302"/>
      <c r="D225" s="1562" t="s">
        <v>1571</v>
      </c>
      <c r="E225" s="1562"/>
      <c r="F225" s="1562"/>
      <c r="G225" s="288"/>
    </row>
    <row r="226" spans="1:7" ht="13.2">
      <c r="A226" s="417"/>
      <c r="B226" s="417"/>
      <c r="C226" s="302"/>
      <c r="D226" s="283"/>
      <c r="E226" s="283"/>
      <c r="F226" s="283"/>
      <c r="G226" s="288"/>
    </row>
    <row r="227" spans="1:7" ht="14.4">
      <c r="A227" s="413"/>
      <c r="B227" s="950" t="s">
        <v>1533</v>
      </c>
      <c r="C227" s="302"/>
      <c r="D227" s="1562" t="s">
        <v>707</v>
      </c>
      <c r="E227" s="1562"/>
      <c r="F227" s="1562"/>
      <c r="G227" s="288"/>
    </row>
    <row r="228" spans="1:7" ht="14.4">
      <c r="A228" s="413"/>
      <c r="B228" s="14"/>
      <c r="C228" s="302"/>
      <c r="D228" s="287" t="s">
        <v>1230</v>
      </c>
      <c r="E228" s="283"/>
      <c r="F228" s="283"/>
      <c r="G228" s="288"/>
    </row>
    <row r="229" spans="1:7" ht="14.4">
      <c r="A229" s="413"/>
      <c r="B229" s="413"/>
      <c r="C229" s="302"/>
      <c r="D229" s="300" t="s">
        <v>1595</v>
      </c>
      <c r="E229" s="1617" t="s">
        <v>1598</v>
      </c>
      <c r="F229" s="1617"/>
      <c r="G229" s="288"/>
    </row>
    <row r="230" spans="1:7" ht="14.4">
      <c r="A230" s="413"/>
      <c r="B230" s="413"/>
      <c r="C230" s="302"/>
      <c r="D230" s="1543" t="s">
        <v>1600</v>
      </c>
      <c r="E230" s="1543"/>
      <c r="F230" s="1543"/>
      <c r="G230" s="288"/>
    </row>
    <row r="231" spans="1:7" ht="13.2">
      <c r="A231" s="417"/>
      <c r="B231" s="417"/>
      <c r="C231" s="302"/>
      <c r="D231" s="1543"/>
      <c r="E231" s="1543"/>
      <c r="F231" s="1543"/>
      <c r="G231" s="288"/>
    </row>
    <row r="232" spans="1:7" ht="13.2">
      <c r="A232" s="417"/>
      <c r="B232" s="417"/>
      <c r="C232" s="302"/>
      <c r="D232" s="1543"/>
      <c r="E232" s="1543"/>
      <c r="F232" s="1543"/>
      <c r="G232" s="288"/>
    </row>
    <row r="233" spans="1:7" ht="13.2">
      <c r="A233" s="417"/>
      <c r="B233" s="417"/>
      <c r="C233" s="302"/>
      <c r="D233" s="1543"/>
      <c r="E233" s="1543"/>
      <c r="F233" s="1543"/>
      <c r="G233" s="288"/>
    </row>
    <row r="234" spans="1:7" ht="13.2">
      <c r="A234" s="417"/>
      <c r="B234" s="417"/>
      <c r="C234" s="302"/>
      <c r="D234" s="1543"/>
      <c r="E234" s="1543"/>
      <c r="F234" s="1543"/>
      <c r="G234" s="288"/>
    </row>
    <row r="235" spans="1:7" ht="13.2">
      <c r="A235" s="417"/>
      <c r="B235" s="417"/>
      <c r="C235" s="302"/>
      <c r="D235" s="1543" t="s">
        <v>1572</v>
      </c>
      <c r="E235" s="1543"/>
      <c r="F235" s="1543"/>
      <c r="G235" s="288"/>
    </row>
    <row r="236" spans="1:7" ht="13.2">
      <c r="A236" s="417"/>
      <c r="B236" s="417"/>
      <c r="C236" s="302"/>
      <c r="D236" s="287"/>
      <c r="E236" s="283"/>
      <c r="F236" s="283"/>
      <c r="G236" s="288"/>
    </row>
    <row r="237" spans="1:7" ht="14.4">
      <c r="A237" s="413"/>
      <c r="B237" s="950" t="s">
        <v>136</v>
      </c>
      <c r="C237" s="302"/>
      <c r="D237" s="1562" t="s">
        <v>708</v>
      </c>
      <c r="E237" s="1562"/>
      <c r="F237" s="1562"/>
      <c r="G237" s="288"/>
    </row>
    <row r="238" spans="1:7" ht="14.4">
      <c r="A238" s="413"/>
      <c r="B238" s="14"/>
      <c r="C238" s="302"/>
      <c r="D238" s="1562" t="s">
        <v>1230</v>
      </c>
      <c r="E238" s="1562"/>
      <c r="F238" s="1562"/>
      <c r="G238" s="288"/>
    </row>
    <row r="239" spans="1:7" ht="14.4">
      <c r="A239" s="413"/>
      <c r="B239" s="413"/>
      <c r="C239" s="302"/>
      <c r="D239" s="300" t="s">
        <v>1595</v>
      </c>
      <c r="E239" s="1617" t="s">
        <v>1601</v>
      </c>
      <c r="F239" s="1617"/>
      <c r="G239" s="288"/>
    </row>
    <row r="240" spans="1:7" ht="13.2">
      <c r="A240" s="417"/>
      <c r="B240" s="417"/>
      <c r="C240" s="302"/>
      <c r="D240" s="1618" t="s">
        <v>2213</v>
      </c>
      <c r="E240" s="1562"/>
      <c r="F240" s="1562"/>
      <c r="G240" s="288"/>
    </row>
    <row r="241" spans="1:7" ht="13.2">
      <c r="A241" s="417"/>
      <c r="B241" s="417"/>
      <c r="C241" s="302"/>
      <c r="D241" s="1380"/>
      <c r="E241" s="1380"/>
      <c r="F241" s="1380"/>
      <c r="G241" s="288"/>
    </row>
    <row r="242" spans="1:7" ht="14.4">
      <c r="A242" s="413"/>
      <c r="B242" s="1382" t="s">
        <v>136</v>
      </c>
      <c r="C242" s="302"/>
      <c r="D242" s="1618" t="s">
        <v>2212</v>
      </c>
      <c r="E242" s="1562"/>
      <c r="F242" s="1562"/>
      <c r="G242" s="288"/>
    </row>
    <row r="243" spans="1:7" ht="14.4">
      <c r="A243" s="413"/>
      <c r="B243" s="14"/>
      <c r="C243" s="302"/>
      <c r="D243" s="1562" t="s">
        <v>1230</v>
      </c>
      <c r="E243" s="1562"/>
      <c r="F243" s="1562"/>
      <c r="G243" s="288"/>
    </row>
    <row r="244" spans="1:7" ht="14.4">
      <c r="A244" s="413"/>
      <c r="B244" s="413"/>
      <c r="C244" s="302"/>
      <c r="D244" s="1381" t="s">
        <v>1595</v>
      </c>
      <c r="E244" s="1617" t="s">
        <v>2214</v>
      </c>
      <c r="F244" s="1617"/>
      <c r="G244" s="288"/>
    </row>
    <row r="245" spans="1:7" ht="13.2">
      <c r="A245" s="417"/>
      <c r="B245" s="417"/>
      <c r="C245" s="302"/>
      <c r="D245" s="1618" t="s">
        <v>2215</v>
      </c>
      <c r="E245" s="1562"/>
      <c r="F245" s="1562"/>
      <c r="G245" s="288"/>
    </row>
    <row r="246" spans="1:7" ht="13.2">
      <c r="A246" s="417"/>
      <c r="B246" s="417"/>
      <c r="C246" s="302"/>
      <c r="D246" s="403"/>
      <c r="E246" s="288"/>
      <c r="F246" s="288"/>
      <c r="G246" s="288"/>
    </row>
    <row r="247" spans="1:7" ht="14.4">
      <c r="A247" s="413"/>
      <c r="B247" s="950" t="s">
        <v>136</v>
      </c>
      <c r="D247" s="960" t="s">
        <v>1627</v>
      </c>
      <c r="E247" s="960"/>
      <c r="F247" s="960"/>
    </row>
    <row r="248" spans="1:7" ht="14.4">
      <c r="A248" s="413"/>
      <c r="B248" s="2"/>
      <c r="D248" s="1550" t="s">
        <v>1984</v>
      </c>
      <c r="E248" s="1543"/>
      <c r="F248" s="1543"/>
    </row>
    <row r="249" spans="1:7" ht="14.4">
      <c r="A249" s="413"/>
      <c r="B249" s="417"/>
      <c r="D249" s="1543"/>
      <c r="E249" s="1543"/>
      <c r="F249" s="1543"/>
    </row>
    <row r="250" spans="1:7" ht="14.4">
      <c r="A250" s="413"/>
      <c r="B250" s="417"/>
      <c r="D250" s="1543"/>
      <c r="E250" s="1543"/>
      <c r="F250" s="1543"/>
    </row>
    <row r="251" spans="1:7" ht="14.4">
      <c r="A251" s="413"/>
      <c r="B251" s="417"/>
      <c r="D251" s="959"/>
      <c r="E251" s="959"/>
      <c r="F251" s="959"/>
    </row>
    <row r="252" spans="1:7" ht="14.4">
      <c r="A252" s="413"/>
      <c r="B252" s="950" t="s">
        <v>136</v>
      </c>
      <c r="D252" s="1612" t="s">
        <v>1134</v>
      </c>
      <c r="E252" s="1612"/>
      <c r="F252" s="1612"/>
    </row>
    <row r="253" spans="1:7" ht="14.4">
      <c r="A253" s="413"/>
      <c r="B253" s="417"/>
      <c r="D253" s="960"/>
      <c r="E253" s="960"/>
      <c r="F253" s="960"/>
    </row>
    <row r="254" spans="1:7" ht="13.2">
      <c r="A254" s="1595" t="s">
        <v>1545</v>
      </c>
      <c r="B254" s="1595"/>
      <c r="C254" s="1595"/>
      <c r="D254" s="1595"/>
      <c r="E254" s="1595"/>
      <c r="F254" s="1595"/>
      <c r="G254" s="1595"/>
    </row>
    <row r="255" spans="1:7" ht="13.2">
      <c r="A255" s="140"/>
      <c r="B255" s="140"/>
      <c r="C255" s="14"/>
      <c r="D255" s="287"/>
      <c r="E255" s="282"/>
      <c r="F255" s="282"/>
    </row>
    <row r="256" spans="1:7" ht="13.2">
      <c r="A256" s="140"/>
      <c r="B256" s="140"/>
      <c r="C256" s="926"/>
      <c r="D256" s="1547" t="s">
        <v>1544</v>
      </c>
      <c r="E256" s="1547"/>
      <c r="F256" s="1547"/>
    </row>
    <row r="257" spans="1:7" ht="13.2">
      <c r="A257" s="414"/>
      <c r="B257" s="414"/>
      <c r="C257" s="298"/>
      <c r="D257" s="1544" t="s">
        <v>1578</v>
      </c>
      <c r="E257" s="1544"/>
      <c r="F257" s="1544"/>
    </row>
    <row r="258" spans="1:7" ht="13.2">
      <c r="A258" s="33"/>
      <c r="B258" s="33"/>
      <c r="C258" s="320"/>
      <c r="D258" s="6"/>
      <c r="E258" s="282"/>
      <c r="F258" s="282"/>
    </row>
    <row r="259" spans="1:7" ht="13.2">
      <c r="A259" s="33"/>
      <c r="B259" s="14"/>
      <c r="C259" s="320"/>
      <c r="D259" s="1547" t="s">
        <v>232</v>
      </c>
      <c r="E259" s="1547"/>
      <c r="F259" s="1547"/>
      <c r="G259" s="2"/>
    </row>
    <row r="260" spans="1:7" ht="14.4" customHeight="1">
      <c r="A260" s="413"/>
      <c r="B260" s="1398" t="s">
        <v>1533</v>
      </c>
      <c r="C260" s="1490"/>
      <c r="D260" s="1541" t="s">
        <v>2313</v>
      </c>
      <c r="E260" s="1541"/>
      <c r="F260" s="1541"/>
      <c r="G260" s="2"/>
    </row>
    <row r="261" spans="1:7" ht="14.4">
      <c r="A261" s="413"/>
      <c r="B261" s="1491"/>
      <c r="C261" s="1490"/>
      <c r="D261" s="1541"/>
      <c r="E261" s="1541"/>
      <c r="F261" s="1541"/>
      <c r="G261" s="2"/>
    </row>
    <row r="262" spans="1:7" ht="14.4">
      <c r="A262" s="413"/>
      <c r="B262" s="1491"/>
      <c r="C262" s="1490"/>
      <c r="D262" s="1541"/>
      <c r="E262" s="1541"/>
      <c r="F262" s="1541"/>
      <c r="G262" s="2"/>
    </row>
    <row r="263" spans="1:7" ht="14.4" customHeight="1">
      <c r="A263" s="413"/>
      <c r="B263" s="1491"/>
      <c r="C263" s="1490"/>
      <c r="D263" s="1541"/>
      <c r="E263" s="1541"/>
      <c r="F263" s="1541"/>
      <c r="G263" s="2"/>
    </row>
    <row r="264" spans="1:7" ht="14.4">
      <c r="A264" s="413"/>
      <c r="B264" s="1491"/>
      <c r="C264" s="1490"/>
      <c r="D264" s="1492"/>
      <c r="E264" s="1492"/>
      <c r="F264" s="1492"/>
      <c r="G264" s="2"/>
    </row>
    <row r="265" spans="1:7" ht="14.4">
      <c r="A265" s="413"/>
      <c r="B265" s="1398" t="s">
        <v>1533</v>
      </c>
      <c r="C265" s="1490"/>
      <c r="D265" s="1541" t="s">
        <v>2314</v>
      </c>
      <c r="E265" s="1541"/>
      <c r="F265" s="1541"/>
      <c r="G265" s="2"/>
    </row>
    <row r="266" spans="1:7" ht="14.4">
      <c r="A266" s="413"/>
      <c r="B266" s="1491"/>
      <c r="C266" s="1490"/>
      <c r="D266" s="1541"/>
      <c r="E266" s="1541"/>
      <c r="F266" s="1541"/>
      <c r="G266" s="2"/>
    </row>
    <row r="267" spans="1:7" ht="14.4">
      <c r="A267" s="413"/>
      <c r="B267" s="1491"/>
      <c r="C267" s="1490"/>
      <c r="D267" s="1541"/>
      <c r="E267" s="1541"/>
      <c r="F267" s="1541"/>
      <c r="G267" s="2"/>
    </row>
    <row r="268" spans="1:7" ht="14.4">
      <c r="A268" s="413"/>
      <c r="B268" s="1491"/>
      <c r="C268" s="1490"/>
      <c r="D268" s="1541"/>
      <c r="E268" s="1541"/>
      <c r="F268" s="1541"/>
      <c r="G268" s="2"/>
    </row>
    <row r="269" spans="1:7" ht="14.4">
      <c r="A269" s="413"/>
      <c r="B269" s="1491"/>
      <c r="C269" s="1490"/>
      <c r="D269" s="1541"/>
      <c r="E269" s="1541"/>
      <c r="F269" s="1541"/>
      <c r="G269" s="2"/>
    </row>
    <row r="270" spans="1:7" ht="14.4">
      <c r="A270" s="413"/>
      <c r="B270" s="1491"/>
      <c r="C270" s="1490"/>
      <c r="D270" s="1492"/>
      <c r="E270" s="1492"/>
      <c r="F270" s="1492"/>
      <c r="G270" s="2"/>
    </row>
    <row r="271" spans="1:7" ht="14.4">
      <c r="A271" s="413"/>
      <c r="B271" s="1491"/>
      <c r="C271" s="1490"/>
      <c r="D271" s="1541" t="s">
        <v>1759</v>
      </c>
      <c r="E271" s="1541"/>
      <c r="F271" s="1541"/>
      <c r="G271" s="2"/>
    </row>
    <row r="272" spans="1:7" ht="14.4">
      <c r="A272" s="413"/>
      <c r="B272" s="1491"/>
      <c r="C272" s="1490"/>
      <c r="D272" s="1541"/>
      <c r="E272" s="1541"/>
      <c r="F272" s="1541"/>
      <c r="G272" s="2"/>
    </row>
    <row r="273" spans="1:7" ht="14.4">
      <c r="A273" s="413"/>
      <c r="B273" s="1491"/>
      <c r="C273" s="1490"/>
      <c r="D273" s="1541"/>
      <c r="E273" s="1541"/>
      <c r="F273" s="1541"/>
      <c r="G273" s="2"/>
    </row>
    <row r="274" spans="1:7" ht="14.4">
      <c r="A274" s="413"/>
      <c r="B274" s="1491"/>
      <c r="C274" s="1490"/>
      <c r="D274" s="1541"/>
      <c r="E274" s="1541"/>
      <c r="F274" s="1541"/>
      <c r="G274" s="2"/>
    </row>
    <row r="275" spans="1:7" ht="14.4">
      <c r="A275" s="413"/>
      <c r="B275" s="1491"/>
      <c r="C275" s="1490"/>
      <c r="D275" s="1541"/>
      <c r="E275" s="1541"/>
      <c r="F275" s="1541"/>
      <c r="G275" s="2"/>
    </row>
    <row r="276" spans="1:7" ht="14.4">
      <c r="A276" s="413"/>
      <c r="B276" s="413"/>
      <c r="C276" s="14"/>
      <c r="D276" s="980"/>
      <c r="E276" s="980"/>
      <c r="F276" s="980"/>
      <c r="G276" s="2"/>
    </row>
    <row r="277" spans="1:7" s="770" customFormat="1" ht="14.4" customHeight="1">
      <c r="A277" s="1367"/>
      <c r="B277" s="1366" t="s">
        <v>136</v>
      </c>
      <c r="C277" s="1368"/>
      <c r="D277" s="1542" t="s">
        <v>2204</v>
      </c>
      <c r="E277" s="1542"/>
      <c r="F277" s="1542"/>
      <c r="G277" s="1369"/>
    </row>
    <row r="278" spans="1:7" s="770" customFormat="1" ht="14.4">
      <c r="A278" s="1367"/>
      <c r="B278" s="1368"/>
      <c r="C278" s="1368"/>
      <c r="D278" s="1542"/>
      <c r="E278" s="1542"/>
      <c r="F278" s="1542"/>
      <c r="G278" s="1369"/>
    </row>
    <row r="279" spans="1:7" s="770" customFormat="1" ht="14.4">
      <c r="A279" s="1367"/>
      <c r="B279" s="1368"/>
      <c r="C279" s="1368"/>
      <c r="D279" s="1542"/>
      <c r="E279" s="1542"/>
      <c r="F279" s="1542"/>
      <c r="G279" s="1369"/>
    </row>
    <row r="280" spans="1:7" s="770" customFormat="1" ht="13.2">
      <c r="A280" s="1368"/>
      <c r="B280" s="1368"/>
      <c r="C280" s="1368"/>
      <c r="D280" s="1641" t="s">
        <v>2205</v>
      </c>
      <c r="E280" s="1641"/>
      <c r="F280" s="1641"/>
      <c r="G280" s="1369"/>
    </row>
    <row r="281" spans="1:7" ht="14.4">
      <c r="A281" s="413"/>
      <c r="B281" s="413"/>
      <c r="C281" s="14"/>
      <c r="D281" s="287"/>
      <c r="E281" s="2"/>
      <c r="F281" s="2"/>
      <c r="G281" s="2"/>
    </row>
    <row r="282" spans="1:7" ht="14.4">
      <c r="A282" s="413"/>
      <c r="B282" s="950" t="s">
        <v>1533</v>
      </c>
      <c r="C282" s="14"/>
      <c r="D282" s="1544" t="s">
        <v>1231</v>
      </c>
      <c r="E282" s="1544"/>
      <c r="F282" s="1544"/>
      <c r="G282" s="2"/>
    </row>
    <row r="283" spans="1:7" ht="14.4">
      <c r="A283" s="413"/>
      <c r="B283" s="413"/>
      <c r="C283" s="14"/>
      <c r="D283" s="1544" t="s">
        <v>1760</v>
      </c>
      <c r="E283" s="1544"/>
      <c r="F283" s="1544"/>
      <c r="G283" s="2"/>
    </row>
    <row r="284" spans="1:7" ht="14.4">
      <c r="A284" s="413"/>
      <c r="B284" s="413"/>
      <c r="C284" s="14"/>
      <c r="D284" s="989" t="s">
        <v>1159</v>
      </c>
      <c r="E284" s="989"/>
      <c r="F284" s="989"/>
    </row>
    <row r="285" spans="1:7" ht="13.2">
      <c r="A285" s="140"/>
      <c r="B285" s="140"/>
      <c r="C285" s="14"/>
      <c r="D285" s="321"/>
      <c r="E285" s="282"/>
      <c r="F285" s="282"/>
    </row>
    <row r="286" spans="1:7" ht="14.4">
      <c r="A286" s="413"/>
      <c r="B286" s="950" t="s">
        <v>86</v>
      </c>
      <c r="C286" s="14"/>
      <c r="D286" s="1543" t="s">
        <v>1761</v>
      </c>
      <c r="E286" s="1543"/>
      <c r="F286" s="1543"/>
    </row>
    <row r="287" spans="1:7" ht="14.4">
      <c r="A287" s="413"/>
      <c r="B287" s="413"/>
      <c r="C287" s="14"/>
      <c r="D287" s="1543"/>
      <c r="E287" s="1543"/>
      <c r="F287" s="1543"/>
    </row>
    <row r="288" spans="1:7" ht="13.2">
      <c r="A288" s="140"/>
      <c r="B288" s="140"/>
      <c r="C288" s="14"/>
      <c r="D288" s="321"/>
      <c r="E288" s="282"/>
      <c r="F288" s="282"/>
    </row>
    <row r="289" spans="1:7" ht="13.2">
      <c r="A289" s="1595" t="s">
        <v>1547</v>
      </c>
      <c r="B289" s="1595"/>
      <c r="C289" s="1595"/>
      <c r="D289" s="1595"/>
      <c r="E289" s="1595"/>
      <c r="F289" s="1595"/>
      <c r="G289" s="1595"/>
    </row>
    <row r="290" spans="1:7" ht="13.2">
      <c r="A290" s="140"/>
      <c r="B290" s="140"/>
      <c r="C290" s="14"/>
      <c r="D290" s="321"/>
      <c r="E290" s="282"/>
      <c r="F290" s="282"/>
    </row>
    <row r="291" spans="1:7" ht="13.2">
      <c r="A291" s="140"/>
      <c r="B291" s="140"/>
      <c r="C291" s="926"/>
      <c r="D291" s="1547" t="s">
        <v>1546</v>
      </c>
      <c r="E291" s="1547"/>
      <c r="F291" s="1547"/>
    </row>
    <row r="292" spans="1:7" ht="13.2">
      <c r="A292" s="414"/>
      <c r="B292" s="414"/>
      <c r="C292" s="298"/>
      <c r="D292" s="287"/>
      <c r="E292" s="282"/>
      <c r="F292" s="282"/>
    </row>
    <row r="293" spans="1:7" ht="13.2">
      <c r="A293" s="415"/>
      <c r="B293" s="415"/>
      <c r="C293" s="299"/>
      <c r="D293" s="1547" t="s">
        <v>234</v>
      </c>
      <c r="E293" s="1547"/>
      <c r="F293" s="1547"/>
    </row>
    <row r="294" spans="1:7" ht="14.4" customHeight="1">
      <c r="A294" s="413"/>
      <c r="B294" s="950" t="s">
        <v>1533</v>
      </c>
      <c r="C294" s="14"/>
      <c r="D294" s="1550" t="s">
        <v>2150</v>
      </c>
      <c r="E294" s="1543"/>
      <c r="F294" s="1543"/>
    </row>
    <row r="295" spans="1:7" ht="13.2">
      <c r="A295" s="140"/>
      <c r="B295" s="140"/>
      <c r="C295" s="14"/>
      <c r="D295" s="1543"/>
      <c r="E295" s="1543"/>
      <c r="F295" s="1543"/>
    </row>
    <row r="296" spans="1:7" ht="13.2">
      <c r="A296" s="140"/>
      <c r="B296" s="140"/>
      <c r="C296" s="14"/>
      <c r="D296" s="1543"/>
      <c r="E296" s="1543"/>
      <c r="F296" s="1543"/>
    </row>
    <row r="297" spans="1:7" ht="13.2">
      <c r="A297" s="1028"/>
      <c r="B297" s="1028"/>
      <c r="C297" s="14"/>
      <c r="D297" s="1365"/>
      <c r="E297" s="1365"/>
      <c r="F297" s="1365"/>
    </row>
    <row r="298" spans="1:7" s="770" customFormat="1" ht="14.4" customHeight="1">
      <c r="A298" s="1367"/>
      <c r="B298" s="1366" t="s">
        <v>136</v>
      </c>
      <c r="C298" s="1368"/>
      <c r="D298" s="1542" t="s">
        <v>2206</v>
      </c>
      <c r="E298" s="1542"/>
      <c r="F298" s="1542"/>
      <c r="G298" s="1369"/>
    </row>
    <row r="299" spans="1:7" s="770" customFormat="1" ht="13.2">
      <c r="A299" s="1368"/>
      <c r="B299" s="1368"/>
      <c r="C299" s="1368"/>
      <c r="D299" s="1542"/>
      <c r="E299" s="1542"/>
      <c r="F299" s="1542"/>
      <c r="G299" s="1369"/>
    </row>
    <row r="300" spans="1:7" s="770" customFormat="1" ht="13.2">
      <c r="A300" s="1368"/>
      <c r="B300" s="1368"/>
      <c r="C300" s="1368"/>
      <c r="D300" s="1542"/>
      <c r="E300" s="1542"/>
      <c r="F300" s="1542"/>
      <c r="G300" s="1369"/>
    </row>
    <row r="301" spans="1:7" s="770" customFormat="1" ht="13.2">
      <c r="A301" s="1368"/>
      <c r="B301" s="1368"/>
      <c r="C301" s="1368"/>
      <c r="D301" s="1642" t="s">
        <v>2207</v>
      </c>
      <c r="E301" s="1642"/>
      <c r="F301" s="1642"/>
      <c r="G301" s="1369"/>
    </row>
    <row r="302" spans="1:7" ht="13.2">
      <c r="A302" s="140"/>
      <c r="B302" s="140"/>
      <c r="C302" s="14"/>
      <c r="D302" s="332"/>
      <c r="E302" s="282"/>
      <c r="F302" s="282"/>
    </row>
    <row r="303" spans="1:7" ht="13.2">
      <c r="A303" s="1595" t="s">
        <v>1548</v>
      </c>
      <c r="B303" s="1595"/>
      <c r="C303" s="1595"/>
      <c r="D303" s="1595"/>
      <c r="E303" s="1595"/>
      <c r="F303" s="1595"/>
      <c r="G303" s="1595"/>
    </row>
    <row r="304" spans="1:7" ht="13.2">
      <c r="A304" s="140"/>
      <c r="B304" s="140"/>
      <c r="C304" s="14"/>
      <c r="D304" s="332"/>
      <c r="E304" s="282"/>
      <c r="F304" s="282"/>
    </row>
    <row r="305" spans="1:7" ht="13.2">
      <c r="A305" s="140"/>
      <c r="B305" s="140"/>
      <c r="C305" s="298"/>
      <c r="D305" s="1571" t="s">
        <v>1762</v>
      </c>
      <c r="E305" s="1571"/>
      <c r="F305" s="1571"/>
    </row>
    <row r="306" spans="1:7" ht="13.2">
      <c r="A306" s="140"/>
      <c r="B306" s="140"/>
      <c r="C306" s="298"/>
      <c r="D306" s="1571"/>
      <c r="E306" s="1571"/>
      <c r="F306" s="1571"/>
    </row>
    <row r="307" spans="1:7" ht="13.2">
      <c r="A307" s="415"/>
      <c r="B307" s="415"/>
      <c r="C307" s="299"/>
      <c r="D307" s="6"/>
      <c r="E307" s="282"/>
      <c r="F307" s="282"/>
    </row>
    <row r="308" spans="1:7" ht="13.2">
      <c r="A308" s="140"/>
      <c r="B308" s="140"/>
      <c r="C308" s="299"/>
      <c r="D308" s="1547" t="s">
        <v>179</v>
      </c>
      <c r="E308" s="1547"/>
      <c r="F308" s="1547"/>
    </row>
    <row r="309" spans="1:7" ht="14.4">
      <c r="A309" s="413"/>
      <c r="B309" s="413"/>
      <c r="C309" s="14"/>
      <c r="D309" s="1584" t="s">
        <v>1763</v>
      </c>
      <c r="E309" s="1584"/>
      <c r="F309" s="1584"/>
    </row>
    <row r="310" spans="1:7" ht="12" customHeight="1">
      <c r="A310" s="140"/>
      <c r="B310" s="140"/>
      <c r="C310" s="14"/>
      <c r="D310" s="282"/>
      <c r="E310" s="282"/>
      <c r="F310" s="282"/>
    </row>
    <row r="311" spans="1:7" ht="14.4" customHeight="1">
      <c r="A311" s="413"/>
      <c r="B311" s="950" t="s">
        <v>136</v>
      </c>
      <c r="C311" s="14"/>
      <c r="D311" s="1543" t="s">
        <v>1764</v>
      </c>
      <c r="E311" s="1543"/>
      <c r="F311" s="1543"/>
    </row>
    <row r="312" spans="1:7" ht="14.4">
      <c r="A312" s="413"/>
      <c r="B312" s="413"/>
      <c r="C312" s="14"/>
      <c r="D312" s="1543"/>
      <c r="E312" s="1543"/>
      <c r="F312" s="1543"/>
    </row>
    <row r="313" spans="1:7" ht="13.2">
      <c r="A313" s="140"/>
      <c r="B313" s="140"/>
      <c r="C313" s="14"/>
      <c r="D313" s="282"/>
      <c r="E313" s="282"/>
      <c r="F313" s="282"/>
    </row>
    <row r="314" spans="1:7" ht="14.4" customHeight="1">
      <c r="A314" s="413"/>
      <c r="B314" s="950" t="s">
        <v>136</v>
      </c>
      <c r="C314" s="14"/>
      <c r="D314" s="1628" t="s">
        <v>1765</v>
      </c>
      <c r="E314" s="1628"/>
      <c r="F314" s="1628"/>
    </row>
    <row r="315" spans="1:7" ht="14.4">
      <c r="A315" s="413"/>
      <c r="B315" s="413"/>
      <c r="C315" s="14"/>
      <c r="D315" s="1628"/>
      <c r="E315" s="1628"/>
      <c r="F315" s="1628"/>
    </row>
    <row r="316" spans="1:7" ht="14.4">
      <c r="A316" s="413"/>
      <c r="B316" s="413"/>
      <c r="C316" s="14"/>
      <c r="D316" s="1628"/>
      <c r="E316" s="1628"/>
      <c r="F316" s="1628"/>
    </row>
    <row r="317" spans="1:7" ht="13.2">
      <c r="A317" s="140"/>
      <c r="B317" s="140"/>
      <c r="C317" s="14"/>
      <c r="D317" s="143"/>
      <c r="E317"/>
      <c r="F317"/>
      <c r="G317"/>
    </row>
    <row r="318" spans="1:7" ht="14.4">
      <c r="A318" s="413"/>
      <c r="B318" s="950" t="s">
        <v>136</v>
      </c>
      <c r="C318" s="14"/>
      <c r="D318" s="1543" t="s">
        <v>1766</v>
      </c>
      <c r="E318" s="1543"/>
      <c r="F318" s="1543"/>
    </row>
    <row r="319" spans="1:7" ht="14.4">
      <c r="A319" s="413"/>
      <c r="B319" s="413"/>
      <c r="C319" s="14"/>
      <c r="D319" s="1543"/>
      <c r="E319" s="1543"/>
      <c r="F319" s="1543"/>
    </row>
    <row r="320" spans="1:7" ht="13.2">
      <c r="A320" s="33"/>
      <c r="B320" s="33"/>
      <c r="C320" s="14"/>
      <c r="D320" s="287"/>
      <c r="E320" s="282"/>
      <c r="F320" s="282"/>
    </row>
    <row r="321" spans="1:7" ht="13.2">
      <c r="A321" s="1595" t="s">
        <v>1535</v>
      </c>
      <c r="B321" s="1595"/>
      <c r="C321" s="1595"/>
      <c r="D321" s="1595"/>
      <c r="E321" s="1595"/>
      <c r="F321" s="1595"/>
      <c r="G321" s="1595"/>
    </row>
    <row r="322" spans="1:7" ht="13.2">
      <c r="A322" s="33"/>
      <c r="B322" s="33"/>
      <c r="C322" s="14"/>
      <c r="D322" s="287"/>
      <c r="E322" s="282"/>
      <c r="F322" s="282"/>
      <c r="G322" s="2"/>
    </row>
    <row r="323" spans="1:7" ht="13.2">
      <c r="A323" s="140"/>
      <c r="B323" s="140"/>
      <c r="C323" s="320"/>
      <c r="D323" s="1547" t="s">
        <v>180</v>
      </c>
      <c r="E323" s="1547"/>
      <c r="F323" s="1547"/>
      <c r="G323" s="2"/>
    </row>
    <row r="324" spans="1:7" ht="13.2">
      <c r="A324" s="140"/>
      <c r="B324" s="140"/>
      <c r="C324" s="320"/>
      <c r="D324" s="1544" t="s">
        <v>1579</v>
      </c>
      <c r="E324" s="1544"/>
      <c r="F324" s="1544"/>
      <c r="G324" s="2"/>
    </row>
    <row r="325" spans="1:7" ht="13.2">
      <c r="A325" s="140"/>
      <c r="B325" s="140"/>
      <c r="C325" s="320"/>
      <c r="D325" s="290"/>
      <c r="E325" s="282"/>
      <c r="F325" s="282"/>
      <c r="G325" s="2"/>
    </row>
    <row r="326" spans="1:7" ht="13.2">
      <c r="A326" s="140"/>
      <c r="B326" s="950" t="s">
        <v>136</v>
      </c>
      <c r="C326" s="14"/>
      <c r="D326" s="1544" t="s">
        <v>1767</v>
      </c>
      <c r="E326" s="1544"/>
      <c r="F326" s="1544"/>
      <c r="G326" s="2"/>
    </row>
    <row r="327" spans="1:7" ht="14.4">
      <c r="A327" s="570"/>
      <c r="B327" s="570"/>
      <c r="D327" s="702"/>
      <c r="G327" s="2"/>
    </row>
    <row r="328" spans="1:7" ht="14.4">
      <c r="A328" s="413"/>
      <c r="B328" s="950" t="s">
        <v>136</v>
      </c>
      <c r="C328" s="14"/>
      <c r="D328" s="1544" t="s">
        <v>1768</v>
      </c>
      <c r="E328" s="1544"/>
      <c r="F328" s="1544"/>
      <c r="G328" s="2"/>
    </row>
    <row r="329" spans="1:7" ht="13.2">
      <c r="A329" s="140"/>
      <c r="B329" s="140"/>
      <c r="C329" s="14"/>
      <c r="D329" s="282"/>
      <c r="E329" s="282"/>
      <c r="F329" s="282"/>
      <c r="G329" s="2"/>
    </row>
    <row r="330" spans="1:7" ht="14.4" customHeight="1">
      <c r="A330" s="413"/>
      <c r="B330" s="950" t="s">
        <v>136</v>
      </c>
      <c r="C330" s="14"/>
      <c r="D330" s="1628" t="s">
        <v>1774</v>
      </c>
      <c r="E330" s="1628"/>
      <c r="F330" s="1628"/>
      <c r="G330" s="2"/>
    </row>
    <row r="331" spans="1:7" ht="14.4">
      <c r="A331" s="413"/>
      <c r="B331" s="413"/>
      <c r="C331" s="14"/>
      <c r="D331" s="1628"/>
      <c r="E331" s="1628"/>
      <c r="F331" s="1628"/>
      <c r="G331" s="2"/>
    </row>
    <row r="332" spans="1:7" ht="14.4">
      <c r="A332" s="413"/>
      <c r="B332" s="413"/>
      <c r="C332" s="14"/>
      <c r="D332" s="1628"/>
      <c r="E332" s="1628"/>
      <c r="F332" s="1628"/>
      <c r="G332" s="2"/>
    </row>
    <row r="333" spans="1:7" ht="14.4">
      <c r="A333" s="413"/>
      <c r="B333" s="413"/>
      <c r="C333" s="14"/>
      <c r="D333" s="1628"/>
      <c r="E333" s="1628"/>
      <c r="F333" s="1628"/>
      <c r="G333" s="2"/>
    </row>
    <row r="334" spans="1:7" ht="14.4">
      <c r="A334" s="413"/>
      <c r="B334" s="413"/>
      <c r="C334" s="14"/>
      <c r="D334" s="1628"/>
      <c r="E334" s="1628"/>
      <c r="F334" s="1628"/>
      <c r="G334" s="2"/>
    </row>
    <row r="335" spans="1:7" ht="14.4">
      <c r="A335" s="413"/>
      <c r="B335" s="413"/>
      <c r="C335" s="14"/>
      <c r="D335" s="1628"/>
      <c r="E335" s="1628"/>
      <c r="F335" s="1628"/>
      <c r="G335" s="2"/>
    </row>
    <row r="336" spans="1:7" ht="14.4">
      <c r="A336" s="413"/>
      <c r="B336" s="413"/>
      <c r="C336" s="14"/>
      <c r="D336" s="1628"/>
      <c r="E336" s="1628"/>
      <c r="F336" s="1628"/>
      <c r="G336" s="2"/>
    </row>
    <row r="337" spans="1:8" ht="14.4">
      <c r="A337" s="413"/>
      <c r="B337" s="413"/>
      <c r="C337" s="14"/>
      <c r="D337" s="1628"/>
      <c r="E337" s="1628"/>
      <c r="F337" s="1628"/>
      <c r="G337" s="2"/>
    </row>
    <row r="338" spans="1:8" ht="14.4">
      <c r="A338" s="413"/>
      <c r="B338" s="413"/>
      <c r="C338" s="14"/>
      <c r="D338" s="1628"/>
      <c r="E338" s="1628"/>
      <c r="F338" s="1628"/>
    </row>
    <row r="339" spans="1:8" ht="14.4">
      <c r="A339" s="413"/>
      <c r="B339" s="413"/>
      <c r="C339" s="14"/>
      <c r="D339" s="1628"/>
      <c r="E339" s="1628"/>
      <c r="F339" s="1628"/>
    </row>
    <row r="340" spans="1:8" ht="14.4">
      <c r="A340" s="413"/>
      <c r="B340" s="413"/>
      <c r="C340" s="14"/>
      <c r="D340" s="1628"/>
      <c r="E340" s="1628"/>
      <c r="F340" s="1628"/>
    </row>
    <row r="341" spans="1:8" ht="14.4">
      <c r="A341" s="413"/>
      <c r="B341" s="413"/>
      <c r="C341" s="14"/>
      <c r="D341" s="1628"/>
      <c r="E341" s="1628"/>
      <c r="F341" s="1628"/>
    </row>
    <row r="342" spans="1:8" ht="14.4">
      <c r="A342" s="413"/>
      <c r="B342" s="413"/>
      <c r="C342" s="14"/>
      <c r="D342" s="1628"/>
      <c r="E342" s="1628"/>
      <c r="F342" s="1628"/>
    </row>
    <row r="343" spans="1:8" ht="14.4">
      <c r="A343" s="413"/>
      <c r="B343" s="413"/>
      <c r="C343" s="14"/>
      <c r="D343" s="1628"/>
      <c r="E343" s="1628"/>
      <c r="F343" s="1628"/>
    </row>
    <row r="344" spans="1:8" ht="14.4">
      <c r="A344" s="413"/>
      <c r="B344" s="413"/>
      <c r="C344" s="14"/>
      <c r="D344" s="1628"/>
      <c r="E344" s="1628"/>
      <c r="F344" s="1628"/>
    </row>
    <row r="345" spans="1:8" ht="13.2">
      <c r="A345" s="140"/>
      <c r="B345" s="140"/>
      <c r="C345" s="14"/>
      <c r="D345" s="282"/>
      <c r="E345" s="282"/>
      <c r="F345" s="282"/>
    </row>
    <row r="346" spans="1:8" s="50" customFormat="1" ht="14.4" customHeight="1">
      <c r="A346" s="413"/>
      <c r="B346" s="950" t="s">
        <v>136</v>
      </c>
      <c r="C346" s="140"/>
      <c r="D346" s="1628" t="s">
        <v>1769</v>
      </c>
      <c r="E346" s="1628"/>
      <c r="F346" s="1628"/>
      <c r="G346" s="8"/>
      <c r="H346" s="16"/>
    </row>
    <row r="347" spans="1:8" s="50" customFormat="1" ht="13.2">
      <c r="A347" s="140"/>
      <c r="B347" s="140"/>
      <c r="C347" s="140"/>
      <c r="D347" s="1628"/>
      <c r="E347" s="1628"/>
      <c r="F347" s="1628"/>
      <c r="G347" s="8"/>
      <c r="H347" s="16"/>
    </row>
    <row r="348" spans="1:8" s="50" customFormat="1" ht="13.2">
      <c r="A348" s="140"/>
      <c r="B348" s="140"/>
      <c r="C348" s="140"/>
      <c r="D348" s="1628"/>
      <c r="E348" s="1628"/>
      <c r="F348" s="1628"/>
      <c r="G348" s="8"/>
      <c r="H348" s="16"/>
    </row>
    <row r="349" spans="1:8" s="50" customFormat="1" ht="13.2">
      <c r="A349" s="140"/>
      <c r="B349" s="140"/>
      <c r="C349" s="140"/>
      <c r="D349" s="1628"/>
      <c r="E349" s="1628"/>
      <c r="F349" s="1628"/>
      <c r="G349" s="8"/>
      <c r="H349" s="16"/>
    </row>
    <row r="350" spans="1:8" s="50" customFormat="1" ht="13.2">
      <c r="A350" s="140"/>
      <c r="B350" s="140"/>
      <c r="C350" s="140"/>
      <c r="D350" s="1628"/>
      <c r="E350" s="1628"/>
      <c r="F350" s="1628"/>
      <c r="G350" s="8"/>
      <c r="H350" s="16"/>
    </row>
    <row r="351" spans="1:8" s="50" customFormat="1" ht="13.2">
      <c r="A351" s="140"/>
      <c r="B351" s="140"/>
      <c r="C351" s="140"/>
      <c r="D351" s="1628"/>
      <c r="E351" s="1628"/>
      <c r="F351" s="1628"/>
      <c r="G351" s="8"/>
      <c r="H351" s="16"/>
    </row>
    <row r="352" spans="1:8" s="50" customFormat="1" ht="13.2">
      <c r="A352" s="140"/>
      <c r="B352" s="140"/>
      <c r="C352" s="140"/>
      <c r="D352" s="1628"/>
      <c r="E352" s="1628"/>
      <c r="F352" s="1628"/>
      <c r="G352" s="8"/>
      <c r="H352" s="16"/>
    </row>
    <row r="353" spans="1:8" s="50" customFormat="1" ht="13.2">
      <c r="A353" s="140"/>
      <c r="B353" s="140"/>
      <c r="C353" s="140"/>
      <c r="D353" s="1628"/>
      <c r="E353" s="1628"/>
      <c r="F353" s="1628"/>
      <c r="G353" s="8"/>
      <c r="H353" s="16"/>
    </row>
    <row r="354" spans="1:8" s="50" customFormat="1" ht="13.2">
      <c r="A354" s="140"/>
      <c r="B354" s="140"/>
      <c r="C354" s="140"/>
      <c r="D354" s="1628"/>
      <c r="E354" s="1628"/>
      <c r="F354" s="1628"/>
      <c r="G354" s="8"/>
      <c r="H354" s="16"/>
    </row>
    <row r="355" spans="1:8" ht="13.2">
      <c r="A355" s="150"/>
      <c r="B355" s="150"/>
      <c r="E355" s="403"/>
      <c r="F355" s="403"/>
    </row>
    <row r="356" spans="1:8" ht="14.4">
      <c r="A356" s="413"/>
      <c r="B356" s="950" t="s">
        <v>136</v>
      </c>
      <c r="C356" s="14"/>
      <c r="D356" s="1550" t="s">
        <v>2142</v>
      </c>
      <c r="E356" s="1543"/>
      <c r="F356" s="1543"/>
    </row>
    <row r="357" spans="1:8" ht="13.2">
      <c r="A357" s="140"/>
      <c r="B357" s="140"/>
      <c r="C357" s="14"/>
      <c r="D357" s="1543"/>
      <c r="E357" s="1543"/>
      <c r="F357" s="1543"/>
    </row>
    <row r="358" spans="1:8" ht="13.2">
      <c r="A358" s="140"/>
      <c r="B358" s="140"/>
      <c r="C358" s="14"/>
      <c r="D358" s="1543"/>
      <c r="E358" s="1543"/>
      <c r="F358" s="1543"/>
    </row>
    <row r="359" spans="1:8" ht="13.2">
      <c r="A359" s="140"/>
      <c r="B359" s="140"/>
      <c r="C359" s="14"/>
      <c r="D359" s="1543"/>
      <c r="E359" s="1543"/>
      <c r="F359" s="1543"/>
    </row>
    <row r="360" spans="1:8" ht="13.2">
      <c r="A360" s="986"/>
      <c r="B360" s="986"/>
      <c r="C360" s="14"/>
      <c r="D360" s="1543"/>
      <c r="E360" s="1543"/>
      <c r="F360" s="1543"/>
    </row>
    <row r="361" spans="1:8" ht="13.2">
      <c r="A361" s="140"/>
      <c r="B361" s="140"/>
      <c r="C361" s="14"/>
      <c r="D361" s="1543"/>
      <c r="E361" s="1543"/>
      <c r="F361" s="1543"/>
    </row>
    <row r="362" spans="1:8" ht="13.8" thickBot="1">
      <c r="A362" s="140"/>
      <c r="B362" s="140"/>
      <c r="C362" s="14"/>
      <c r="D362" s="1298"/>
      <c r="E362" s="811"/>
      <c r="F362" s="811"/>
      <c r="G362" s="288"/>
    </row>
    <row r="363" spans="1:8" ht="14.4" thickTop="1" thickBot="1">
      <c r="A363" s="140"/>
      <c r="B363" s="140"/>
      <c r="C363" s="140"/>
      <c r="D363" s="1632" t="s">
        <v>1402</v>
      </c>
      <c r="E363" s="1632"/>
      <c r="F363" s="1632"/>
      <c r="G363" s="71"/>
    </row>
    <row r="364" spans="1:8" ht="13.8" thickTop="1">
      <c r="A364" s="140"/>
      <c r="B364" s="140"/>
      <c r="C364" s="140"/>
      <c r="D364" s="1635" t="s">
        <v>1770</v>
      </c>
      <c r="E364" s="1635"/>
      <c r="F364" s="1635"/>
      <c r="G364" s="8"/>
    </row>
    <row r="365" spans="1:8" ht="13.2">
      <c r="A365" s="140"/>
      <c r="B365" s="140"/>
      <c r="C365" s="140"/>
      <c r="D365" s="287"/>
      <c r="E365" s="8"/>
      <c r="F365" s="8"/>
      <c r="G365" s="8"/>
    </row>
    <row r="366" spans="1:8" ht="14.4">
      <c r="A366" s="413"/>
      <c r="B366" s="950" t="s">
        <v>136</v>
      </c>
      <c r="C366" s="597"/>
      <c r="D366" s="1631" t="s">
        <v>1775</v>
      </c>
      <c r="E366" s="1631"/>
      <c r="F366" s="1631"/>
      <c r="G366" s="8"/>
    </row>
    <row r="367" spans="1:8" ht="14.4">
      <c r="A367" s="413"/>
      <c r="B367" s="413"/>
      <c r="C367" s="597"/>
      <c r="D367" s="666"/>
      <c r="E367" s="8"/>
      <c r="F367" s="8"/>
      <c r="G367" s="8"/>
    </row>
    <row r="368" spans="1:8" ht="14.4">
      <c r="A368" s="413"/>
      <c r="B368" s="950" t="s">
        <v>136</v>
      </c>
      <c r="C368" s="597"/>
      <c r="D368" s="1633" t="s">
        <v>1778</v>
      </c>
      <c r="E368" s="1634"/>
      <c r="F368" s="1634"/>
      <c r="G368" s="8"/>
    </row>
    <row r="369" spans="1:7" ht="14.4">
      <c r="A369" s="413"/>
      <c r="B369" s="413"/>
      <c r="C369" s="597"/>
      <c r="D369" s="1634"/>
      <c r="E369" s="1634"/>
      <c r="F369" s="1634"/>
      <c r="G369" s="8"/>
    </row>
    <row r="370" spans="1:7" ht="14.4">
      <c r="A370" s="413"/>
      <c r="B370" s="413"/>
      <c r="C370" s="597"/>
      <c r="D370" s="1634"/>
      <c r="E370" s="1634"/>
      <c r="F370" s="1634"/>
      <c r="G370" s="8"/>
    </row>
    <row r="371" spans="1:7" ht="14.4">
      <c r="A371" s="413"/>
      <c r="B371" s="413"/>
      <c r="C371" s="597"/>
      <c r="D371" s="1634"/>
      <c r="E371" s="1634"/>
      <c r="F371" s="1634"/>
      <c r="G371" s="8"/>
    </row>
    <row r="372" spans="1:7" ht="14.4">
      <c r="A372" s="413"/>
      <c r="B372" s="413"/>
      <c r="C372" s="597"/>
      <c r="D372" s="1634"/>
      <c r="E372" s="1634"/>
      <c r="F372" s="1634"/>
      <c r="G372" s="8"/>
    </row>
    <row r="373" spans="1:7" ht="14.4">
      <c r="A373" s="413"/>
      <c r="B373" s="413"/>
      <c r="C373" s="597"/>
      <c r="D373" s="1634"/>
      <c r="E373" s="1634"/>
      <c r="F373" s="1634"/>
      <c r="G373" s="8"/>
    </row>
    <row r="374" spans="1:7" ht="14.4">
      <c r="A374" s="413"/>
      <c r="B374" s="413"/>
      <c r="C374" s="597"/>
      <c r="D374" s="1634"/>
      <c r="E374" s="1634"/>
      <c r="F374" s="1634"/>
      <c r="G374" s="8"/>
    </row>
    <row r="375" spans="1:7" ht="14.4">
      <c r="A375" s="413"/>
      <c r="B375" s="413"/>
      <c r="C375" s="597"/>
      <c r="D375" s="1634"/>
      <c r="E375" s="1634"/>
      <c r="F375" s="1634"/>
      <c r="G375" s="8"/>
    </row>
    <row r="376" spans="1:7" ht="14.4">
      <c r="A376" s="413"/>
      <c r="B376" s="413"/>
      <c r="C376" s="597"/>
      <c r="D376" s="1634"/>
      <c r="E376" s="1634"/>
      <c r="F376" s="1634"/>
      <c r="G376" s="8"/>
    </row>
    <row r="377" spans="1:7" ht="14.4">
      <c r="A377" s="413"/>
      <c r="B377" s="413"/>
      <c r="C377" s="597"/>
      <c r="D377" s="1634"/>
      <c r="E377" s="1634"/>
      <c r="F377" s="1634"/>
      <c r="G377" s="8"/>
    </row>
    <row r="378" spans="1:7" ht="14.4">
      <c r="A378" s="413"/>
      <c r="B378" s="413"/>
      <c r="C378" s="597"/>
      <c r="D378" s="991"/>
      <c r="E378" s="991"/>
      <c r="F378" s="991"/>
      <c r="G378" s="8"/>
    </row>
    <row r="379" spans="1:7" ht="14.4">
      <c r="A379" s="413"/>
      <c r="B379" s="950" t="s">
        <v>136</v>
      </c>
      <c r="C379" s="597"/>
      <c r="D379" s="1643" t="s">
        <v>1771</v>
      </c>
      <c r="E379" s="1643"/>
      <c r="F379" s="1643"/>
      <c r="G379" s="8"/>
    </row>
    <row r="380" spans="1:7" ht="13.2">
      <c r="A380" s="597"/>
      <c r="B380" s="597"/>
      <c r="C380" s="597"/>
      <c r="D380" s="1643"/>
      <c r="E380" s="1643"/>
      <c r="F380" s="1643"/>
      <c r="G380" s="8"/>
    </row>
    <row r="381" spans="1:7" ht="13.2">
      <c r="A381" s="597"/>
      <c r="B381" s="597"/>
      <c r="C381" s="597"/>
      <c r="D381" s="1643"/>
      <c r="E381" s="1643"/>
      <c r="F381" s="1643"/>
      <c r="G381" s="8"/>
    </row>
    <row r="382" spans="1:7" ht="13.2">
      <c r="A382" s="597"/>
      <c r="B382" s="597"/>
      <c r="C382" s="597"/>
      <c r="D382" s="1643"/>
      <c r="E382" s="1643"/>
      <c r="F382" s="1643"/>
      <c r="G382" s="8"/>
    </row>
    <row r="383" spans="1:7" ht="13.2">
      <c r="A383" s="597"/>
      <c r="B383" s="597"/>
      <c r="C383" s="597"/>
      <c r="D383" s="995"/>
      <c r="E383" s="995"/>
      <c r="F383" s="995"/>
      <c r="G383" s="8"/>
    </row>
    <row r="384" spans="1:7" ht="13.2">
      <c r="A384" s="597"/>
      <c r="B384" s="597"/>
      <c r="C384" s="597"/>
      <c r="D384" s="1643" t="s">
        <v>1772</v>
      </c>
      <c r="E384" s="1643"/>
      <c r="F384" s="1643"/>
      <c r="G384" s="8"/>
    </row>
    <row r="385" spans="1:7" ht="13.2">
      <c r="A385" s="597"/>
      <c r="B385" s="597"/>
      <c r="C385" s="597"/>
      <c r="D385" s="1643"/>
      <c r="E385" s="1643"/>
      <c r="F385" s="1643"/>
      <c r="G385" s="8"/>
    </row>
    <row r="386" spans="1:7" ht="13.2">
      <c r="A386" s="597"/>
      <c r="B386" s="597"/>
      <c r="C386" s="597"/>
      <c r="D386" s="1643"/>
      <c r="E386" s="1643"/>
      <c r="F386" s="1643"/>
      <c r="G386" s="8"/>
    </row>
    <row r="387" spans="1:7" ht="13.2">
      <c r="A387" s="597"/>
      <c r="B387" s="597"/>
      <c r="C387" s="597"/>
      <c r="D387" s="1643"/>
      <c r="E387" s="1643"/>
      <c r="F387" s="1643"/>
      <c r="G387" s="8"/>
    </row>
    <row r="388" spans="1:7" ht="13.2">
      <c r="A388" s="597"/>
      <c r="B388" s="597"/>
      <c r="C388" s="597"/>
      <c r="D388" s="1643"/>
      <c r="E388" s="1643"/>
      <c r="F388" s="1643"/>
      <c r="G388" s="8"/>
    </row>
    <row r="389" spans="1:7" ht="13.2">
      <c r="A389" s="597"/>
      <c r="B389" s="597"/>
      <c r="C389" s="597"/>
      <c r="D389" s="1643"/>
      <c r="E389" s="1643"/>
      <c r="F389" s="1643"/>
      <c r="G389" s="8"/>
    </row>
    <row r="390" spans="1:7" ht="13.2">
      <c r="A390" s="597"/>
      <c r="B390" s="597"/>
      <c r="C390" s="597"/>
      <c r="D390" s="1643"/>
      <c r="E390" s="1643"/>
      <c r="F390" s="1643"/>
      <c r="G390" s="8"/>
    </row>
    <row r="391" spans="1:7" ht="13.2">
      <c r="A391" s="597"/>
      <c r="B391" s="597"/>
      <c r="C391" s="597"/>
      <c r="D391" s="1643"/>
      <c r="E391" s="1643"/>
      <c r="F391" s="1643"/>
      <c r="G391" s="8"/>
    </row>
    <row r="392" spans="1:7" ht="13.2">
      <c r="A392" s="597"/>
      <c r="B392" s="597"/>
      <c r="C392" s="597"/>
      <c r="D392" s="1643"/>
      <c r="E392" s="1643"/>
      <c r="F392" s="1643"/>
      <c r="G392" s="8"/>
    </row>
    <row r="393" spans="1:7" ht="13.65" customHeight="1">
      <c r="A393" s="597"/>
      <c r="B393" s="597"/>
      <c r="C393" s="597"/>
      <c r="D393" s="1644" t="s">
        <v>1776</v>
      </c>
      <c r="E393" s="1644"/>
      <c r="F393" s="1644"/>
      <c r="G393" s="8"/>
    </row>
    <row r="394" spans="1:7" ht="13.65" customHeight="1">
      <c r="A394" s="597"/>
      <c r="B394" s="597"/>
      <c r="C394" s="597"/>
      <c r="D394" s="1644"/>
      <c r="E394" s="1644"/>
      <c r="F394" s="1644"/>
      <c r="G394" s="8"/>
    </row>
    <row r="395" spans="1:7" ht="13.65" customHeight="1">
      <c r="A395" s="597"/>
      <c r="B395" s="597"/>
      <c r="C395" s="597"/>
      <c r="D395" s="1644"/>
      <c r="E395" s="1644"/>
      <c r="F395" s="1644"/>
      <c r="G395" s="8"/>
    </row>
    <row r="396" spans="1:7" ht="13.65" customHeight="1">
      <c r="A396" s="597"/>
      <c r="B396" s="597"/>
      <c r="C396" s="597"/>
      <c r="D396" s="1644"/>
      <c r="E396" s="1644"/>
      <c r="F396" s="1644"/>
      <c r="G396" s="8"/>
    </row>
    <row r="397" spans="1:7" ht="13.65" customHeight="1">
      <c r="A397" s="597"/>
      <c r="B397" s="597"/>
      <c r="C397" s="597"/>
      <c r="D397" s="1644"/>
      <c r="E397" s="1644"/>
      <c r="F397" s="1644"/>
      <c r="G397" s="8"/>
    </row>
    <row r="398" spans="1:7" ht="13.65" customHeight="1">
      <c r="A398" s="597"/>
      <c r="B398" s="597"/>
      <c r="C398" s="597"/>
      <c r="D398" s="1644"/>
      <c r="E398" s="1644"/>
      <c r="F398" s="1644"/>
      <c r="G398" s="8"/>
    </row>
    <row r="399" spans="1:7" ht="13.65" customHeight="1">
      <c r="A399" s="597"/>
      <c r="B399" s="597"/>
      <c r="C399" s="597"/>
      <c r="D399" s="1644"/>
      <c r="E399" s="1644"/>
      <c r="F399" s="1644"/>
      <c r="G399" s="8"/>
    </row>
    <row r="400" spans="1:7" ht="13.65" customHeight="1">
      <c r="A400" s="597"/>
      <c r="B400" s="597"/>
      <c r="C400" s="597"/>
      <c r="D400" s="1644"/>
      <c r="E400" s="1644"/>
      <c r="F400" s="1644"/>
      <c r="G400" s="8"/>
    </row>
    <row r="401" spans="1:7" ht="13.65" customHeight="1">
      <c r="A401" s="597"/>
      <c r="B401" s="597"/>
      <c r="C401" s="597"/>
      <c r="D401" s="1644"/>
      <c r="E401" s="1644"/>
      <c r="F401" s="1644"/>
      <c r="G401" s="8"/>
    </row>
    <row r="402" spans="1:7" ht="13.65" customHeight="1">
      <c r="A402" s="597"/>
      <c r="B402" s="597"/>
      <c r="C402" s="597"/>
      <c r="D402" s="1644"/>
      <c r="E402" s="1644"/>
      <c r="F402" s="1644"/>
      <c r="G402" s="8"/>
    </row>
    <row r="403" spans="1:7" ht="13.65" customHeight="1">
      <c r="A403" s="597"/>
      <c r="B403" s="597"/>
      <c r="C403" s="597"/>
      <c r="D403" s="1644"/>
      <c r="E403" s="1644"/>
      <c r="F403" s="1644"/>
      <c r="G403" s="8"/>
    </row>
    <row r="404" spans="1:7" ht="13.65" customHeight="1">
      <c r="A404" s="597"/>
      <c r="B404" s="597"/>
      <c r="C404" s="597"/>
      <c r="D404" s="1644"/>
      <c r="E404" s="1644"/>
      <c r="F404" s="1644"/>
      <c r="G404" s="8"/>
    </row>
    <row r="405" spans="1:7" ht="13.65" customHeight="1">
      <c r="A405" s="597"/>
      <c r="B405" s="597"/>
      <c r="C405" s="597"/>
      <c r="D405" s="1644"/>
      <c r="E405" s="1644"/>
      <c r="F405" s="1644"/>
      <c r="G405" s="8"/>
    </row>
    <row r="406" spans="1:7" ht="13.65" customHeight="1">
      <c r="A406" s="597"/>
      <c r="B406" s="597"/>
      <c r="C406" s="597"/>
      <c r="D406" s="1644"/>
      <c r="E406" s="1644"/>
      <c r="F406" s="1644"/>
      <c r="G406" s="8"/>
    </row>
    <row r="407" spans="1:7" ht="13.65" customHeight="1">
      <c r="A407" s="597"/>
      <c r="B407" s="597"/>
      <c r="C407" s="597"/>
      <c r="D407" s="1644"/>
      <c r="E407" s="1644"/>
      <c r="F407" s="1644"/>
      <c r="G407" s="8"/>
    </row>
    <row r="408" spans="1:7" ht="13.65" customHeight="1">
      <c r="A408" s="597"/>
      <c r="B408" s="597"/>
      <c r="C408" s="597"/>
      <c r="D408" s="1644"/>
      <c r="E408" s="1644"/>
      <c r="F408" s="1644"/>
      <c r="G408" s="8"/>
    </row>
    <row r="409" spans="1:7" ht="13.65" customHeight="1">
      <c r="A409" s="597"/>
      <c r="B409" s="597"/>
      <c r="C409" s="597"/>
      <c r="D409" s="1644"/>
      <c r="E409" s="1644"/>
      <c r="F409" s="1644"/>
      <c r="G409" s="8"/>
    </row>
    <row r="410" spans="1:7" ht="13.65" customHeight="1">
      <c r="A410" s="597"/>
      <c r="B410" s="597"/>
      <c r="C410" s="597"/>
      <c r="D410" s="1644"/>
      <c r="E410" s="1644"/>
      <c r="F410" s="1644"/>
      <c r="G410" s="8"/>
    </row>
    <row r="411" spans="1:7" ht="13.2">
      <c r="A411" s="597"/>
      <c r="B411" s="597"/>
      <c r="C411" s="597"/>
      <c r="D411" s="808"/>
      <c r="E411" s="8"/>
      <c r="F411" s="8"/>
      <c r="G411" s="8"/>
    </row>
    <row r="412" spans="1:7" ht="13.65" customHeight="1">
      <c r="A412" s="597"/>
      <c r="B412" s="950" t="s">
        <v>136</v>
      </c>
      <c r="C412" s="597"/>
      <c r="D412" s="1644" t="s">
        <v>1773</v>
      </c>
      <c r="E412" s="1644"/>
      <c r="F412" s="1644"/>
      <c r="G412" s="8"/>
    </row>
    <row r="413" spans="1:7" ht="13.2">
      <c r="A413" s="597"/>
      <c r="B413" s="597"/>
      <c r="C413" s="597"/>
      <c r="D413" s="1644"/>
      <c r="E413" s="1644"/>
      <c r="F413" s="1644"/>
      <c r="G413" s="8"/>
    </row>
    <row r="414" spans="1:7" ht="13.2">
      <c r="A414" s="597"/>
      <c r="B414" s="597"/>
      <c r="C414" s="597"/>
      <c r="D414" s="1354"/>
      <c r="E414" s="1354"/>
      <c r="F414" s="1354"/>
      <c r="G414" s="8"/>
    </row>
    <row r="415" spans="1:7" ht="13.2">
      <c r="A415" s="597"/>
      <c r="B415" s="1356" t="s">
        <v>136</v>
      </c>
      <c r="C415" s="597"/>
      <c r="D415" s="1597" t="s">
        <v>2147</v>
      </c>
      <c r="E415" s="1597"/>
      <c r="F415" s="1597"/>
      <c r="G415" s="8"/>
    </row>
    <row r="416" spans="1:7" ht="13.2">
      <c r="A416" s="597"/>
      <c r="B416" s="597"/>
      <c r="C416" s="597"/>
      <c r="D416" s="1597"/>
      <c r="E416" s="1597"/>
      <c r="F416" s="1597"/>
      <c r="G416" s="8"/>
    </row>
    <row r="417" spans="1:7" ht="13.2">
      <c r="A417" s="597"/>
      <c r="B417" s="597"/>
      <c r="C417" s="597"/>
      <c r="D417" s="1597"/>
      <c r="E417" s="1597"/>
      <c r="F417" s="1597"/>
      <c r="G417" s="8"/>
    </row>
    <row r="418" spans="1:7" ht="13.2">
      <c r="A418" s="597"/>
      <c r="B418" s="597"/>
      <c r="C418" s="597"/>
      <c r="D418" s="1597"/>
      <c r="E418" s="1597"/>
      <c r="F418" s="1597"/>
      <c r="G418" s="8"/>
    </row>
    <row r="419" spans="1:7" ht="13.2">
      <c r="A419" s="597"/>
      <c r="B419" s="597"/>
      <c r="C419" s="597"/>
      <c r="D419" s="1597"/>
      <c r="E419" s="1597"/>
      <c r="F419" s="1597"/>
      <c r="G419" s="8"/>
    </row>
    <row r="420" spans="1:7" ht="13.2">
      <c r="A420" s="597"/>
      <c r="B420" s="597"/>
      <c r="C420" s="597"/>
      <c r="D420" s="1597"/>
      <c r="E420" s="1597"/>
      <c r="F420" s="1597"/>
      <c r="G420" s="8"/>
    </row>
    <row r="421" spans="1:7" ht="14.4" customHeight="1">
      <c r="A421" s="413"/>
      <c r="B421" s="950" t="s">
        <v>136</v>
      </c>
      <c r="C421" s="597"/>
      <c r="D421" s="1597" t="s">
        <v>2124</v>
      </c>
      <c r="E421" s="1597"/>
      <c r="F421" s="1597"/>
      <c r="G421" s="8"/>
    </row>
    <row r="422" spans="1:7" ht="14.4">
      <c r="A422" s="809"/>
      <c r="B422" s="809"/>
      <c r="C422" s="597"/>
      <c r="D422" s="1597"/>
      <c r="E422" s="1597"/>
      <c r="F422" s="1597"/>
      <c r="G422" s="8"/>
    </row>
    <row r="423" spans="1:7" ht="14.4">
      <c r="A423" s="809"/>
      <c r="B423" s="809"/>
      <c r="C423" s="597"/>
      <c r="D423" s="1597"/>
      <c r="E423" s="1597"/>
      <c r="F423" s="1597"/>
      <c r="G423" s="8"/>
    </row>
    <row r="424" spans="1:7" ht="14.4">
      <c r="A424" s="809"/>
      <c r="B424" s="809"/>
      <c r="C424" s="597"/>
      <c r="D424" s="1597"/>
      <c r="E424" s="1597"/>
      <c r="F424" s="1597"/>
      <c r="G424" s="8"/>
    </row>
    <row r="425" spans="1:7" ht="14.25" customHeight="1">
      <c r="A425" s="809"/>
      <c r="B425" s="809"/>
      <c r="C425" s="597"/>
      <c r="D425" s="1647" t="s">
        <v>2143</v>
      </c>
      <c r="E425" s="1647"/>
      <c r="F425" s="1647"/>
      <c r="G425" s="8"/>
    </row>
    <row r="426" spans="1:7" ht="13.2">
      <c r="A426" s="140"/>
      <c r="B426" s="140"/>
      <c r="C426" s="140"/>
      <c r="D426" s="143"/>
      <c r="E426" s="8"/>
      <c r="F426" s="8"/>
      <c r="G426" s="8"/>
    </row>
    <row r="427" spans="1:7" ht="14.4" customHeight="1">
      <c r="A427" s="413"/>
      <c r="B427" s="950" t="s">
        <v>136</v>
      </c>
      <c r="C427" s="355"/>
      <c r="D427" s="1543" t="s">
        <v>1779</v>
      </c>
      <c r="E427" s="1543"/>
      <c r="F427" s="1543"/>
      <c r="G427" s="8"/>
    </row>
    <row r="428" spans="1:7" ht="14.4">
      <c r="A428" s="413"/>
      <c r="B428" s="413"/>
      <c r="C428" s="140"/>
      <c r="D428" s="1543"/>
      <c r="E428" s="1543"/>
      <c r="F428" s="1543"/>
      <c r="G428" s="8"/>
    </row>
    <row r="429" spans="1:7" ht="14.4">
      <c r="A429" s="413"/>
      <c r="B429" s="413"/>
      <c r="C429" s="992"/>
      <c r="D429" s="1543"/>
      <c r="E429" s="1543"/>
      <c r="F429" s="1543"/>
      <c r="G429" s="8"/>
    </row>
    <row r="430" spans="1:7" ht="14.4">
      <c r="A430" s="413"/>
      <c r="B430" s="413"/>
      <c r="C430" s="992"/>
      <c r="D430" s="1543"/>
      <c r="E430" s="1543"/>
      <c r="F430" s="1543"/>
      <c r="G430" s="8"/>
    </row>
    <row r="431" spans="1:7" ht="14.4">
      <c r="A431" s="413"/>
      <c r="B431" s="413"/>
      <c r="C431" s="992"/>
      <c r="D431" s="1543"/>
      <c r="E431" s="1543"/>
      <c r="F431" s="1543"/>
      <c r="G431" s="8"/>
    </row>
    <row r="432" spans="1:7" ht="14.4">
      <c r="A432" s="413"/>
      <c r="B432" s="413"/>
      <c r="C432" s="992"/>
      <c r="D432" s="1543"/>
      <c r="E432" s="1543"/>
      <c r="F432" s="1543"/>
      <c r="G432" s="8"/>
    </row>
    <row r="433" spans="1:7" ht="14.4">
      <c r="A433" s="413"/>
      <c r="B433" s="413"/>
      <c r="C433" s="992"/>
      <c r="D433" s="1543"/>
      <c r="E433" s="1543"/>
      <c r="F433" s="1543"/>
      <c r="G433" s="8"/>
    </row>
    <row r="434" spans="1:7" ht="14.4">
      <c r="A434" s="413"/>
      <c r="B434" s="413"/>
      <c r="C434" s="992"/>
      <c r="D434" s="1543"/>
      <c r="E434" s="1543"/>
      <c r="F434" s="1543"/>
      <c r="G434" s="8"/>
    </row>
    <row r="435" spans="1:7" ht="14.4">
      <c r="A435" s="413"/>
      <c r="B435" s="413"/>
      <c r="C435" s="992"/>
      <c r="D435" s="1543"/>
      <c r="E435" s="1543"/>
      <c r="F435" s="1543"/>
      <c r="G435" s="8"/>
    </row>
    <row r="436" spans="1:7" ht="14.4">
      <c r="A436" s="413"/>
      <c r="B436" s="413"/>
      <c r="C436" s="992"/>
      <c r="D436" s="1543"/>
      <c r="E436" s="1543"/>
      <c r="F436" s="1543"/>
      <c r="G436" s="8"/>
    </row>
    <row r="437" spans="1:7" ht="14.4">
      <c r="A437" s="413"/>
      <c r="B437" s="413"/>
      <c r="C437" s="992"/>
      <c r="D437" s="1543"/>
      <c r="E437" s="1543"/>
      <c r="F437" s="1543"/>
      <c r="G437" s="8"/>
    </row>
    <row r="438" spans="1:7" ht="14.4">
      <c r="A438" s="413"/>
      <c r="B438" s="413"/>
      <c r="C438" s="992"/>
      <c r="D438" s="1543"/>
      <c r="E438" s="1543"/>
      <c r="F438" s="1543"/>
      <c r="G438" s="8"/>
    </row>
    <row r="439" spans="1:7" ht="14.4">
      <c r="A439" s="413"/>
      <c r="B439" s="413"/>
      <c r="C439" s="992"/>
      <c r="D439" s="1543"/>
      <c r="E439" s="1543"/>
      <c r="F439" s="1543"/>
      <c r="G439" s="8"/>
    </row>
    <row r="440" spans="1:7" ht="14.4">
      <c r="A440" s="413"/>
      <c r="B440" s="413"/>
      <c r="C440" s="992"/>
      <c r="D440" s="1543"/>
      <c r="E440" s="1543"/>
      <c r="F440" s="1543"/>
      <c r="G440" s="8"/>
    </row>
    <row r="441" spans="1:7" ht="14.4">
      <c r="A441" s="413"/>
      <c r="B441" s="413"/>
      <c r="C441" s="992"/>
      <c r="D441" s="1543"/>
      <c r="E441" s="1543"/>
      <c r="F441" s="1543"/>
      <c r="G441" s="8"/>
    </row>
    <row r="442" spans="1:7" ht="14.4">
      <c r="A442" s="413"/>
      <c r="B442" s="413"/>
      <c r="C442" s="992"/>
      <c r="D442" s="1543"/>
      <c r="E442" s="1543"/>
      <c r="F442" s="1543"/>
      <c r="G442" s="8"/>
    </row>
    <row r="443" spans="1:7" ht="14.4">
      <c r="A443" s="413"/>
      <c r="B443" s="413"/>
      <c r="C443" s="992"/>
      <c r="D443" s="1543"/>
      <c r="E443" s="1543"/>
      <c r="F443" s="1543"/>
      <c r="G443" s="8"/>
    </row>
    <row r="444" spans="1:7" ht="14.4">
      <c r="A444" s="413"/>
      <c r="B444" s="413"/>
      <c r="C444" s="992"/>
      <c r="D444" s="1543"/>
      <c r="E444" s="1543"/>
      <c r="F444" s="1543"/>
      <c r="G444" s="8"/>
    </row>
    <row r="445" spans="1:7" ht="14.4">
      <c r="A445" s="413"/>
      <c r="B445" s="413"/>
      <c r="C445" s="992"/>
      <c r="D445" s="1543"/>
      <c r="E445" s="1543"/>
      <c r="F445" s="1543"/>
      <c r="G445" s="8"/>
    </row>
    <row r="446" spans="1:7" ht="14.4">
      <c r="A446" s="413"/>
      <c r="B446" s="413"/>
      <c r="C446" s="992"/>
      <c r="D446" s="1543"/>
      <c r="E446" s="1543"/>
      <c r="F446" s="1543"/>
      <c r="G446" s="8"/>
    </row>
    <row r="447" spans="1:7" ht="14.4">
      <c r="A447" s="413"/>
      <c r="B447" s="413"/>
      <c r="C447" s="992"/>
      <c r="D447" s="1543"/>
      <c r="E447" s="1543"/>
      <c r="F447" s="1543"/>
      <c r="G447" s="8"/>
    </row>
    <row r="448" spans="1:7" ht="14.4">
      <c r="A448" s="413"/>
      <c r="B448" s="413"/>
      <c r="C448" s="992"/>
      <c r="D448" s="1543"/>
      <c r="E448" s="1543"/>
      <c r="F448" s="1543"/>
      <c r="G448" s="8"/>
    </row>
    <row r="449" spans="1:7" ht="14.4">
      <c r="A449" s="413"/>
      <c r="B449" s="413"/>
      <c r="C449" s="992"/>
      <c r="D449" s="1543"/>
      <c r="E449" s="1543"/>
      <c r="F449" s="1543"/>
      <c r="G449" s="8"/>
    </row>
    <row r="450" spans="1:7" ht="14.4">
      <c r="A450" s="413"/>
      <c r="B450" s="413"/>
      <c r="C450" s="992"/>
      <c r="D450" s="1543"/>
      <c r="E450" s="1543"/>
      <c r="F450" s="1543"/>
      <c r="G450" s="8"/>
    </row>
    <row r="451" spans="1:7" ht="14.4">
      <c r="A451" s="413"/>
      <c r="B451" s="413"/>
      <c r="C451" s="992"/>
      <c r="D451" s="1543"/>
      <c r="E451" s="1543"/>
      <c r="F451" s="1543"/>
      <c r="G451" s="8"/>
    </row>
    <row r="452" spans="1:7" ht="14.4">
      <c r="A452" s="413"/>
      <c r="B452" s="413"/>
      <c r="C452" s="992"/>
      <c r="D452" s="1543"/>
      <c r="E452" s="1543"/>
      <c r="F452" s="1543"/>
      <c r="G452" s="8"/>
    </row>
    <row r="453" spans="1:7" ht="14.4">
      <c r="A453" s="413"/>
      <c r="B453" s="413"/>
      <c r="C453" s="992"/>
      <c r="D453" s="1543"/>
      <c r="E453" s="1543"/>
      <c r="F453" s="1543"/>
      <c r="G453" s="8"/>
    </row>
    <row r="454" spans="1:7" ht="14.4">
      <c r="A454" s="413"/>
      <c r="B454" s="413"/>
      <c r="C454" s="992"/>
      <c r="D454" s="1543"/>
      <c r="E454" s="1543"/>
      <c r="F454" s="1543"/>
      <c r="G454" s="8"/>
    </row>
    <row r="455" spans="1:7" ht="14.4">
      <c r="A455" s="413"/>
      <c r="B455" s="413"/>
      <c r="C455" s="992"/>
      <c r="D455" s="1543"/>
      <c r="E455" s="1543"/>
      <c r="F455" s="1543"/>
      <c r="G455" s="8"/>
    </row>
    <row r="456" spans="1:7" ht="14.4">
      <c r="A456" s="413"/>
      <c r="B456" s="413"/>
      <c r="C456" s="992"/>
      <c r="D456" s="1543"/>
      <c r="E456" s="1543"/>
      <c r="F456" s="1543"/>
      <c r="G456" s="8"/>
    </row>
    <row r="457" spans="1:7" ht="13.2" hidden="1">
      <c r="A457" s="140"/>
      <c r="B457" s="140"/>
      <c r="C457" s="140"/>
      <c r="D457" s="1543"/>
      <c r="E457" s="1543"/>
      <c r="F457" s="1543"/>
      <c r="G457" s="8"/>
    </row>
    <row r="458" spans="1:7" ht="13.2" hidden="1">
      <c r="A458" s="140"/>
      <c r="B458" s="140"/>
      <c r="C458" s="140"/>
      <c r="D458" s="143"/>
      <c r="E458" s="40"/>
      <c r="F458" s="40"/>
      <c r="G458" s="40"/>
    </row>
    <row r="459" spans="1:7" ht="14.4">
      <c r="A459" s="413"/>
      <c r="B459" s="950" t="s">
        <v>136</v>
      </c>
      <c r="C459" s="355"/>
      <c r="D459" s="1544" t="s">
        <v>1777</v>
      </c>
      <c r="E459" s="1544"/>
      <c r="F459" s="1544"/>
      <c r="G459" s="8"/>
    </row>
    <row r="460" spans="1:7" ht="13.2">
      <c r="A460" s="140"/>
      <c r="B460" s="140"/>
      <c r="C460" s="140"/>
      <c r="D460" s="1645" t="s">
        <v>2120</v>
      </c>
      <c r="E460" s="1645"/>
      <c r="F460" s="1645"/>
      <c r="G460" s="8"/>
    </row>
    <row r="461" spans="1:7" ht="13.65" customHeight="1">
      <c r="A461" s="140"/>
      <c r="B461" s="140"/>
      <c r="C461" s="140"/>
      <c r="D461" s="1646" t="s">
        <v>2121</v>
      </c>
      <c r="E461" s="1628"/>
      <c r="F461" s="1628"/>
      <c r="G461" s="8"/>
    </row>
    <row r="462" spans="1:7" ht="13.65" customHeight="1">
      <c r="A462" s="992"/>
      <c r="B462" s="992"/>
      <c r="C462" s="992"/>
      <c r="D462" s="1628"/>
      <c r="E462" s="1628"/>
      <c r="F462" s="1628"/>
      <c r="G462" s="8"/>
    </row>
    <row r="463" spans="1:7" ht="13.65" customHeight="1">
      <c r="A463" s="992"/>
      <c r="B463" s="992"/>
      <c r="C463" s="992"/>
      <c r="D463" s="1628"/>
      <c r="E463" s="1628"/>
      <c r="F463" s="1628"/>
      <c r="G463" s="8"/>
    </row>
    <row r="464" spans="1:7" ht="13.2">
      <c r="A464" s="140"/>
      <c r="B464" s="140"/>
      <c r="C464" s="140"/>
      <c r="D464" s="143"/>
      <c r="E464" s="8"/>
      <c r="F464" s="8"/>
      <c r="G464" s="8"/>
    </row>
    <row r="465" spans="1:7" ht="14.4" customHeight="1">
      <c r="A465" s="413"/>
      <c r="B465" s="950" t="s">
        <v>136</v>
      </c>
      <c r="C465" s="355"/>
      <c r="D465" s="1543" t="s">
        <v>1780</v>
      </c>
      <c r="E465" s="1543"/>
      <c r="F465" s="1543"/>
      <c r="G465" s="8"/>
    </row>
    <row r="466" spans="1:7" ht="13.2">
      <c r="A466" s="140"/>
      <c r="B466" s="140"/>
      <c r="C466" s="140"/>
      <c r="D466" s="1543"/>
      <c r="E466" s="1543"/>
      <c r="F466" s="1543"/>
      <c r="G466" s="8"/>
    </row>
    <row r="467" spans="1:7" ht="13.2">
      <c r="A467" s="140"/>
      <c r="B467" s="140"/>
      <c r="C467" s="140"/>
      <c r="D467" s="1543"/>
      <c r="E467" s="1543"/>
      <c r="F467" s="1543"/>
      <c r="G467" s="8"/>
    </row>
    <row r="468" spans="1:7" ht="13.2">
      <c r="A468" s="992"/>
      <c r="B468" s="992"/>
      <c r="C468" s="992"/>
      <c r="D468" s="990"/>
      <c r="E468" s="990"/>
      <c r="F468" s="990"/>
      <c r="G468" s="8"/>
    </row>
    <row r="469" spans="1:7" ht="14.4">
      <c r="A469" s="140"/>
      <c r="B469" s="950" t="s">
        <v>136</v>
      </c>
      <c r="C469" s="413"/>
      <c r="D469" s="1646" t="s">
        <v>1939</v>
      </c>
      <c r="E469" s="1628"/>
      <c r="F469" s="1628"/>
      <c r="G469" s="8"/>
    </row>
    <row r="470" spans="1:7" ht="13.2">
      <c r="A470" s="140"/>
      <c r="B470" s="140"/>
      <c r="C470" s="140"/>
      <c r="D470" s="1628"/>
      <c r="E470" s="1628"/>
      <c r="F470" s="1628"/>
      <c r="G470" s="8"/>
    </row>
    <row r="471" spans="1:7" ht="13.2">
      <c r="A471" s="140"/>
      <c r="B471" s="140"/>
      <c r="C471" s="140"/>
      <c r="D471" s="143"/>
      <c r="E471" s="701"/>
      <c r="F471" s="8"/>
      <c r="G471" s="8"/>
    </row>
    <row r="472" spans="1:7" ht="14.4">
      <c r="A472" s="140"/>
      <c r="B472" s="950" t="s">
        <v>136</v>
      </c>
      <c r="C472" s="413"/>
      <c r="D472" s="1628" t="s">
        <v>1781</v>
      </c>
      <c r="E472" s="1628"/>
      <c r="F472" s="1628"/>
      <c r="G472" s="8"/>
    </row>
    <row r="473" spans="1:7" ht="13.2">
      <c r="A473" s="140"/>
      <c r="B473" s="140"/>
      <c r="C473" s="140"/>
      <c r="D473" s="1628"/>
      <c r="E473" s="1628"/>
      <c r="F473" s="1628"/>
      <c r="G473" s="8"/>
    </row>
    <row r="474" spans="1:7" ht="13.2">
      <c r="A474" s="140"/>
      <c r="B474" s="140"/>
      <c r="C474" s="140"/>
      <c r="D474" s="1628"/>
      <c r="E474" s="1628"/>
      <c r="F474" s="1628"/>
      <c r="G474" s="8"/>
    </row>
    <row r="475" spans="1:7" ht="13.2">
      <c r="A475" s="992"/>
      <c r="B475" s="992"/>
      <c r="C475" s="992"/>
      <c r="D475" s="1628"/>
      <c r="E475" s="1628"/>
      <c r="F475" s="1628"/>
      <c r="G475" s="8"/>
    </row>
    <row r="476" spans="1:7" ht="13.2">
      <c r="A476" s="992"/>
      <c r="B476" s="950" t="s">
        <v>136</v>
      </c>
      <c r="C476" s="992"/>
      <c r="D476" s="1628"/>
      <c r="E476" s="1628"/>
      <c r="F476" s="1628"/>
      <c r="G476" s="8"/>
    </row>
    <row r="477" spans="1:7" ht="13.2">
      <c r="A477" s="992"/>
      <c r="B477" s="992"/>
      <c r="C477" s="992"/>
      <c r="D477" s="1628"/>
      <c r="E477" s="1628"/>
      <c r="F477" s="1628"/>
      <c r="G477" s="8"/>
    </row>
    <row r="478" spans="1:7" ht="13.2">
      <c r="A478" s="992"/>
      <c r="B478" s="992"/>
      <c r="C478" s="992"/>
      <c r="D478" s="1628"/>
      <c r="E478" s="1628"/>
      <c r="F478" s="1628"/>
      <c r="G478" s="8"/>
    </row>
    <row r="479" spans="1:7" ht="13.2">
      <c r="A479" s="992"/>
      <c r="B479" s="950" t="s">
        <v>136</v>
      </c>
      <c r="C479" s="992"/>
      <c r="D479" s="1628"/>
      <c r="E479" s="1628"/>
      <c r="F479" s="1628"/>
      <c r="G479" s="8"/>
    </row>
    <row r="480" spans="1:7" ht="13.2">
      <c r="A480" s="992"/>
      <c r="B480" s="992"/>
      <c r="C480" s="992"/>
      <c r="D480" s="1628"/>
      <c r="E480" s="1628"/>
      <c r="F480" s="1628"/>
      <c r="G480" s="8"/>
    </row>
    <row r="481" spans="1:7" ht="13.2">
      <c r="A481" s="992"/>
      <c r="B481" s="992"/>
      <c r="C481" s="992"/>
      <c r="D481" s="1628"/>
      <c r="E481" s="1628"/>
      <c r="F481" s="1628"/>
      <c r="G481" s="8"/>
    </row>
    <row r="482" spans="1:7" ht="13.2">
      <c r="A482" s="992"/>
      <c r="B482" s="992"/>
      <c r="C482" s="992"/>
      <c r="D482" s="1628"/>
      <c r="E482" s="1628"/>
      <c r="F482" s="1628"/>
      <c r="G482" s="8"/>
    </row>
    <row r="483" spans="1:7" ht="13.2">
      <c r="A483" s="992"/>
      <c r="B483" s="950" t="s">
        <v>136</v>
      </c>
      <c r="C483" s="992"/>
      <c r="D483" s="1628"/>
      <c r="E483" s="1628"/>
      <c r="F483" s="1628"/>
      <c r="G483" s="8"/>
    </row>
    <row r="484" spans="1:7" ht="13.2">
      <c r="A484" s="992"/>
      <c r="B484" s="992"/>
      <c r="C484" s="992"/>
      <c r="D484" s="1628"/>
      <c r="E484" s="1628"/>
      <c r="F484" s="1628"/>
      <c r="G484" s="8"/>
    </row>
    <row r="485" spans="1:7" ht="13.2">
      <c r="A485" s="992"/>
      <c r="B485" s="950" t="s">
        <v>136</v>
      </c>
      <c r="C485" s="992"/>
      <c r="D485" s="1628"/>
      <c r="E485" s="1628"/>
      <c r="F485" s="1628"/>
      <c r="G485" s="8"/>
    </row>
    <row r="486" spans="1:7" ht="13.2">
      <c r="A486" s="992"/>
      <c r="B486" s="14"/>
      <c r="C486" s="992"/>
      <c r="D486" s="1628"/>
      <c r="E486" s="1628"/>
      <c r="F486" s="1628"/>
      <c r="G486" s="8"/>
    </row>
    <row r="487" spans="1:7" ht="13.65" customHeight="1">
      <c r="A487" s="140"/>
      <c r="B487" s="993" t="s">
        <v>136</v>
      </c>
      <c r="C487" s="140"/>
      <c r="D487" s="1628" t="s">
        <v>1782</v>
      </c>
      <c r="E487" s="1628"/>
      <c r="F487" s="1628"/>
      <c r="G487" s="8"/>
    </row>
    <row r="488" spans="1:7" ht="13.2">
      <c r="A488" s="140"/>
      <c r="B488" s="140"/>
      <c r="C488" s="140"/>
      <c r="D488" s="1628"/>
      <c r="E488" s="1628"/>
      <c r="F488" s="1628"/>
      <c r="G488" s="8"/>
    </row>
    <row r="489" spans="1:7" ht="13.2">
      <c r="A489" s="140"/>
      <c r="B489" s="140"/>
      <c r="C489" s="140"/>
      <c r="D489" s="1628"/>
      <c r="E489" s="1628"/>
      <c r="F489" s="1628"/>
      <c r="G489" s="8"/>
    </row>
    <row r="490" spans="1:7" ht="13.2">
      <c r="A490" s="140"/>
      <c r="B490" s="140"/>
      <c r="C490" s="140"/>
      <c r="D490" s="1628"/>
      <c r="E490" s="1628"/>
      <c r="F490" s="1628"/>
      <c r="G490" s="8"/>
    </row>
    <row r="491" spans="1:7" ht="13.2">
      <c r="A491" s="140"/>
      <c r="B491" s="140"/>
      <c r="C491" s="140"/>
      <c r="D491" s="1628"/>
      <c r="E491" s="1628"/>
      <c r="F491" s="1628"/>
      <c r="G491" s="8"/>
    </row>
    <row r="492" spans="1:7" ht="13.2">
      <c r="A492" s="140"/>
      <c r="B492" s="140"/>
      <c r="C492" s="140"/>
      <c r="D492" s="143"/>
      <c r="E492" s="8"/>
      <c r="F492" s="8"/>
      <c r="G492" s="8"/>
    </row>
    <row r="493" spans="1:7" ht="13.2">
      <c r="A493" s="140"/>
      <c r="B493" s="950" t="s">
        <v>136</v>
      </c>
      <c r="C493" s="140"/>
      <c r="D493" s="1636" t="s">
        <v>1580</v>
      </c>
      <c r="E493" s="1636"/>
      <c r="F493" s="1636"/>
      <c r="G493" s="8"/>
    </row>
    <row r="494" spans="1:7" ht="13.2">
      <c r="A494" s="143"/>
      <c r="B494" s="143"/>
      <c r="C494" s="14"/>
      <c r="D494" s="282"/>
      <c r="E494" s="282"/>
      <c r="F494" s="282"/>
    </row>
    <row r="495" spans="1:7" ht="13.2">
      <c r="A495" s="1595" t="s">
        <v>1536</v>
      </c>
      <c r="B495" s="1595"/>
      <c r="C495" s="1595"/>
      <c r="D495" s="1595"/>
      <c r="E495" s="1595"/>
      <c r="F495" s="1595"/>
      <c r="G495" s="1595"/>
    </row>
    <row r="496" spans="1:7" ht="13.2">
      <c r="A496" s="143"/>
      <c r="B496" s="143"/>
      <c r="C496" s="14"/>
      <c r="D496" s="282"/>
      <c r="E496" s="282"/>
      <c r="F496" s="282"/>
    </row>
    <row r="497" spans="1:7" ht="13.2">
      <c r="A497" s="140"/>
      <c r="B497" s="140"/>
      <c r="C497" s="14"/>
      <c r="D497" s="1637" t="s">
        <v>1239</v>
      </c>
      <c r="E497" s="1637"/>
      <c r="F497" s="1637"/>
    </row>
    <row r="498" spans="1:7" ht="13.2">
      <c r="D498" s="1638" t="s">
        <v>1573</v>
      </c>
      <c r="E498" s="1638"/>
      <c r="F498" s="1638"/>
    </row>
    <row r="499" spans="1:7" ht="14.4">
      <c r="A499" s="413"/>
      <c r="B499" s="413"/>
      <c r="C499" s="14"/>
      <c r="D499" s="667"/>
      <c r="E499" s="282"/>
      <c r="F499" s="282"/>
    </row>
    <row r="500" spans="1:7" ht="14.4">
      <c r="A500" s="413"/>
      <c r="B500" s="950" t="s">
        <v>1533</v>
      </c>
      <c r="C500" s="14"/>
      <c r="D500" s="1639" t="s">
        <v>1783</v>
      </c>
      <c r="E500" s="1639"/>
      <c r="F500" s="1639"/>
    </row>
    <row r="501" spans="1:7" ht="14.4">
      <c r="A501" s="413"/>
      <c r="B501" s="413"/>
      <c r="C501" s="14"/>
      <c r="D501" s="1639"/>
      <c r="E501" s="1639"/>
      <c r="F501" s="1639"/>
    </row>
    <row r="502" spans="1:7" ht="14.4">
      <c r="A502" s="413"/>
      <c r="B502" s="413"/>
      <c r="C502" s="14"/>
      <c r="D502" s="287"/>
      <c r="E502" s="282"/>
      <c r="F502" s="282"/>
    </row>
    <row r="503" spans="1:7" ht="14.4">
      <c r="A503" s="570"/>
      <c r="B503" s="950" t="s">
        <v>1533</v>
      </c>
      <c r="D503" s="1640" t="s">
        <v>2144</v>
      </c>
      <c r="E503" s="1554"/>
      <c r="F503" s="1554"/>
    </row>
    <row r="504" spans="1:7" ht="14.4">
      <c r="A504" s="570"/>
      <c r="B504" s="570"/>
      <c r="D504" s="1554"/>
      <c r="E504" s="1554"/>
      <c r="F504" s="1554"/>
    </row>
    <row r="505" spans="1:7" ht="14.4">
      <c r="A505" s="570"/>
      <c r="B505" s="570"/>
      <c r="D505" s="1554"/>
      <c r="E505" s="1554"/>
      <c r="F505" s="1554"/>
      <c r="G505" s="2"/>
    </row>
    <row r="506" spans="1:7" ht="14.4">
      <c r="A506" s="570"/>
      <c r="B506" s="570"/>
      <c r="D506" s="1554"/>
      <c r="E506" s="1554"/>
      <c r="F506" s="1554"/>
      <c r="G506" s="2"/>
    </row>
    <row r="507" spans="1:7" ht="13.2">
      <c r="A507" s="150"/>
      <c r="B507" s="150"/>
      <c r="G507" s="2"/>
    </row>
    <row r="508" spans="1:7" ht="14.4">
      <c r="A508" s="413"/>
      <c r="B508" s="950" t="s">
        <v>1533</v>
      </c>
      <c r="C508" s="14"/>
      <c r="D508" s="1544" t="s">
        <v>1785</v>
      </c>
      <c r="E508" s="1544"/>
      <c r="F508" s="1544"/>
      <c r="G508" s="2"/>
    </row>
    <row r="509" spans="1:7" ht="13.2">
      <c r="A509" s="140"/>
      <c r="B509" s="140"/>
      <c r="C509" s="14"/>
      <c r="D509" s="287"/>
      <c r="E509" s="282"/>
      <c r="F509" s="282"/>
      <c r="G509" s="2"/>
    </row>
    <row r="510" spans="1:7" ht="14.4">
      <c r="A510" s="413"/>
      <c r="B510" s="950" t="s">
        <v>1533</v>
      </c>
      <c r="C510" s="14"/>
      <c r="D510" s="1543" t="s">
        <v>1786</v>
      </c>
      <c r="E510" s="1543"/>
      <c r="F510" s="1543"/>
      <c r="G510" s="2"/>
    </row>
    <row r="511" spans="1:7" ht="13.2">
      <c r="A511" s="140"/>
      <c r="B511" s="140"/>
      <c r="C511" s="14"/>
      <c r="D511" s="1543"/>
      <c r="E511" s="1543"/>
      <c r="F511" s="1543"/>
      <c r="G511" s="2"/>
    </row>
    <row r="512" spans="1:7" ht="13.2">
      <c r="A512" s="140"/>
      <c r="B512" s="140"/>
      <c r="C512" s="14"/>
      <c r="D512" s="702"/>
      <c r="E512" s="282"/>
      <c r="F512" s="282"/>
      <c r="G512" s="2"/>
    </row>
    <row r="513" spans="1:7" ht="14.4">
      <c r="A513" s="413"/>
      <c r="B513" s="950" t="s">
        <v>136</v>
      </c>
      <c r="C513" s="14"/>
      <c r="D513" s="1544" t="s">
        <v>1784</v>
      </c>
      <c r="E513" s="1544"/>
      <c r="F513" s="1544"/>
    </row>
    <row r="514" spans="1:7" ht="14.4">
      <c r="A514" s="413"/>
      <c r="B514" s="413"/>
      <c r="C514" s="14"/>
      <c r="D514" s="287"/>
      <c r="E514" s="282"/>
      <c r="F514" s="282"/>
    </row>
    <row r="515" spans="1:7" ht="13.2">
      <c r="A515" s="1595" t="s">
        <v>1537</v>
      </c>
      <c r="B515" s="1595"/>
      <c r="C515" s="1595"/>
      <c r="D515" s="1595"/>
      <c r="E515" s="1595"/>
      <c r="F515" s="1595"/>
      <c r="G515" s="1595"/>
    </row>
    <row r="516" spans="1:7" ht="12" customHeight="1">
      <c r="A516" s="413"/>
      <c r="B516" s="413"/>
      <c r="C516" s="14"/>
      <c r="D516" s="287"/>
      <c r="E516" s="282"/>
      <c r="F516" s="282"/>
    </row>
    <row r="517" spans="1:7" ht="13.2">
      <c r="A517" s="150"/>
      <c r="B517" s="950" t="s">
        <v>1533</v>
      </c>
      <c r="C517" s="406"/>
      <c r="D517" s="1560" t="s">
        <v>1714</v>
      </c>
      <c r="E517" s="1560"/>
      <c r="F517" s="1560"/>
    </row>
    <row r="518" spans="1:7" ht="13.2">
      <c r="A518" s="150"/>
      <c r="C518" s="406"/>
      <c r="D518" s="1560"/>
      <c r="E518" s="1560"/>
      <c r="F518" s="1560"/>
    </row>
    <row r="519" spans="1:7" ht="13.2">
      <c r="A519" s="573"/>
      <c r="B519" s="573"/>
      <c r="C519" s="571"/>
      <c r="D519" s="1560"/>
      <c r="E519" s="1560"/>
      <c r="F519" s="1560"/>
    </row>
    <row r="520" spans="1:7" ht="13.2">
      <c r="A520" s="573"/>
      <c r="B520" s="573"/>
      <c r="C520" s="571"/>
      <c r="D520" s="1560"/>
      <c r="E520" s="1560"/>
      <c r="F520" s="1560"/>
    </row>
    <row r="521" spans="1:7" ht="13.2">
      <c r="A521" s="573"/>
      <c r="B521" s="573"/>
      <c r="C521" s="571"/>
    </row>
    <row r="522" spans="1:7" ht="14.4">
      <c r="A522" s="413"/>
      <c r="B522" s="950" t="s">
        <v>136</v>
      </c>
      <c r="C522" s="322"/>
      <c r="D522" s="1581" t="s">
        <v>1730</v>
      </c>
      <c r="E522" s="1581"/>
      <c r="F522" s="1581"/>
      <c r="G522" s="2"/>
    </row>
    <row r="523" spans="1:7" ht="13.2">
      <c r="A523" s="355"/>
      <c r="B523" s="355"/>
      <c r="C523" s="322"/>
      <c r="D523" s="1581"/>
      <c r="E523" s="1581"/>
      <c r="F523" s="1581"/>
      <c r="G523" s="2"/>
    </row>
    <row r="524" spans="1:7" ht="13.2">
      <c r="A524" s="573"/>
      <c r="B524" s="573"/>
      <c r="C524" s="571"/>
      <c r="D524" s="403"/>
      <c r="G524" s="2"/>
    </row>
    <row r="525" spans="1:7" ht="14.4">
      <c r="A525" s="570"/>
      <c r="B525" s="950" t="s">
        <v>136</v>
      </c>
      <c r="D525" s="1606" t="s">
        <v>1703</v>
      </c>
      <c r="E525" s="1606"/>
      <c r="F525" s="1606"/>
      <c r="G525" s="2"/>
    </row>
    <row r="526" spans="1:7" ht="14.4">
      <c r="A526" s="570"/>
      <c r="B526" s="570"/>
      <c r="D526" s="1606"/>
      <c r="E526" s="1606"/>
      <c r="F526" s="1606"/>
      <c r="G526" s="2"/>
    </row>
    <row r="527" spans="1:7" ht="13.2">
      <c r="A527" s="150"/>
      <c r="B527" s="150"/>
      <c r="D527" s="1606"/>
      <c r="E527" s="1606"/>
      <c r="F527" s="1606"/>
    </row>
    <row r="528" spans="1:7" ht="12" customHeight="1">
      <c r="A528" s="701"/>
      <c r="B528" s="701"/>
      <c r="C528" s="405"/>
      <c r="E528" s="403"/>
    </row>
    <row r="529" spans="1:7" ht="13.2">
      <c r="A529" s="1595" t="s">
        <v>1549</v>
      </c>
      <c r="B529" s="1595"/>
      <c r="C529" s="1595"/>
      <c r="D529" s="1595"/>
      <c r="E529" s="1595"/>
      <c r="F529" s="1595"/>
      <c r="G529" s="1595"/>
    </row>
    <row r="530" spans="1:7" ht="12" customHeight="1">
      <c r="A530" s="143"/>
      <c r="B530" s="143"/>
      <c r="C530" s="322"/>
      <c r="D530" s="282"/>
      <c r="E530" s="287"/>
      <c r="F530" s="282"/>
    </row>
    <row r="531" spans="1:7" ht="13.2">
      <c r="A531" s="140"/>
      <c r="B531" s="140"/>
      <c r="C531" s="322"/>
      <c r="D531" s="1547" t="s">
        <v>1581</v>
      </c>
      <c r="E531" s="1547"/>
      <c r="F531" s="1547"/>
    </row>
    <row r="532" spans="1:7" ht="13.2">
      <c r="A532" s="140"/>
      <c r="B532" s="140"/>
      <c r="C532" s="14"/>
      <c r="D532" s="282"/>
      <c r="E532" s="282"/>
      <c r="F532" s="282"/>
    </row>
    <row r="533" spans="1:7" ht="13.2">
      <c r="A533" s="140"/>
      <c r="B533" s="950" t="s">
        <v>136</v>
      </c>
      <c r="C533" s="14"/>
      <c r="D533" s="1543" t="s">
        <v>1749</v>
      </c>
      <c r="E533" s="1543"/>
      <c r="F533" s="1543"/>
    </row>
    <row r="534" spans="1:7" ht="13.2">
      <c r="A534" s="140"/>
      <c r="B534" s="140"/>
      <c r="C534" s="14"/>
      <c r="D534" s="1543"/>
      <c r="E534" s="1543"/>
      <c r="F534" s="1543"/>
    </row>
    <row r="535" spans="1:7" ht="12" customHeight="1">
      <c r="A535" s="355"/>
      <c r="B535" s="355"/>
      <c r="C535" s="322"/>
      <c r="D535" s="287"/>
      <c r="E535" s="282"/>
      <c r="F535" s="282"/>
    </row>
    <row r="536" spans="1:7" ht="14.4">
      <c r="A536" s="413"/>
      <c r="B536" s="950" t="s">
        <v>136</v>
      </c>
      <c r="C536" s="322"/>
      <c r="D536" s="1543" t="s">
        <v>1750</v>
      </c>
      <c r="E536" s="1543"/>
      <c r="F536" s="1543"/>
    </row>
    <row r="537" spans="1:7" ht="13.2">
      <c r="A537" s="355"/>
      <c r="B537" s="355"/>
      <c r="C537" s="322"/>
      <c r="D537" s="1543"/>
      <c r="E537" s="1543"/>
      <c r="F537" s="1543"/>
    </row>
    <row r="538" spans="1:7" ht="12" customHeight="1">
      <c r="A538" s="355"/>
      <c r="B538" s="355"/>
      <c r="C538" s="322"/>
      <c r="D538" s="287"/>
      <c r="E538" s="282"/>
      <c r="F538" s="282"/>
    </row>
    <row r="539" spans="1:7" ht="13.2">
      <c r="A539" s="1564" t="s">
        <v>1590</v>
      </c>
      <c r="B539" s="1564"/>
      <c r="C539" s="1564"/>
      <c r="D539" s="1564"/>
      <c r="E539" s="1564"/>
      <c r="F539" s="1564"/>
      <c r="G539" s="1564"/>
    </row>
    <row r="540" spans="1:7" ht="12" customHeight="1">
      <c r="A540" s="143"/>
      <c r="B540" s="143"/>
      <c r="C540" s="322"/>
      <c r="D540" s="287"/>
      <c r="E540" s="282"/>
      <c r="F540" s="282"/>
    </row>
    <row r="541" spans="1:7" ht="13.2">
      <c r="A541" s="140"/>
      <c r="B541" s="140"/>
      <c r="C541" s="322"/>
      <c r="D541" s="1547" t="s">
        <v>181</v>
      </c>
      <c r="E541" s="1547"/>
      <c r="F541" s="1547"/>
    </row>
    <row r="542" spans="1:7" ht="13.2">
      <c r="A542" s="140"/>
      <c r="B542" s="140"/>
      <c r="C542" s="322"/>
      <c r="D542" s="1544" t="s">
        <v>1726</v>
      </c>
      <c r="E542" s="1544"/>
      <c r="F542" s="1544"/>
    </row>
    <row r="543" spans="1:7" ht="13.2">
      <c r="A543" s="140"/>
      <c r="B543" s="140"/>
      <c r="C543" s="322"/>
      <c r="D543" s="287"/>
      <c r="E543" s="287"/>
      <c r="F543" s="287"/>
    </row>
    <row r="544" spans="1:7" ht="14.4">
      <c r="A544" s="413"/>
      <c r="B544" s="950" t="s">
        <v>1533</v>
      </c>
      <c r="C544" s="322"/>
      <c r="D544" s="1544" t="s">
        <v>1232</v>
      </c>
      <c r="E544" s="1544"/>
      <c r="F544" s="1544"/>
    </row>
    <row r="545" spans="1:7" ht="12" customHeight="1">
      <c r="A545" s="355"/>
      <c r="B545" s="355"/>
      <c r="C545" s="322"/>
      <c r="D545" s="287"/>
      <c r="E545" s="2"/>
      <c r="F545" s="2"/>
      <c r="G545" s="2"/>
    </row>
    <row r="546" spans="1:7" ht="14.4" customHeight="1">
      <c r="A546" s="413"/>
      <c r="B546" s="950" t="s">
        <v>1533</v>
      </c>
      <c r="C546" s="322"/>
      <c r="D546" s="1543" t="s">
        <v>1725</v>
      </c>
      <c r="E546" s="1543"/>
      <c r="F546" s="1543"/>
      <c r="G546" s="2"/>
    </row>
    <row r="547" spans="1:7" ht="13.2">
      <c r="A547" s="355"/>
      <c r="B547" s="355"/>
      <c r="C547" s="322"/>
      <c r="D547" s="1543"/>
      <c r="E547" s="1543"/>
      <c r="F547" s="1543"/>
      <c r="G547" s="2"/>
    </row>
    <row r="548" spans="1:7" ht="12" customHeight="1">
      <c r="A548" s="355"/>
      <c r="B548" s="355"/>
      <c r="C548" s="322"/>
      <c r="D548" s="287"/>
      <c r="E548" s="2"/>
      <c r="F548" s="2"/>
      <c r="G548" s="2"/>
    </row>
    <row r="549" spans="1:7" ht="14.4">
      <c r="A549" s="413"/>
      <c r="B549" s="950" t="s">
        <v>1533</v>
      </c>
      <c r="C549" s="322"/>
      <c r="D549" s="1543" t="s">
        <v>1727</v>
      </c>
      <c r="E549" s="1543"/>
      <c r="F549" s="1543"/>
      <c r="G549" s="2"/>
    </row>
    <row r="550" spans="1:7" ht="13.2">
      <c r="A550" s="355"/>
      <c r="B550" s="355"/>
      <c r="C550" s="322"/>
      <c r="D550" s="1543"/>
      <c r="E550" s="1543"/>
      <c r="F550" s="1543"/>
      <c r="G550" s="2"/>
    </row>
    <row r="551" spans="1:7" ht="12" customHeight="1">
      <c r="A551" s="355"/>
      <c r="B551" s="355"/>
      <c r="C551" s="322"/>
      <c r="D551" s="287"/>
      <c r="E551" s="2"/>
      <c r="F551" s="2"/>
      <c r="G551" s="2"/>
    </row>
    <row r="552" spans="1:7" ht="14.4">
      <c r="A552" s="413"/>
      <c r="B552" s="950" t="s">
        <v>1533</v>
      </c>
      <c r="C552" s="322"/>
      <c r="D552" s="1543" t="s">
        <v>1728</v>
      </c>
      <c r="E552" s="1543"/>
      <c r="F552" s="1543"/>
      <c r="G552" s="2"/>
    </row>
    <row r="553" spans="1:7" ht="13.2">
      <c r="A553" s="355"/>
      <c r="B553" s="355"/>
      <c r="C553" s="322"/>
      <c r="D553" s="1543"/>
      <c r="E553" s="1543"/>
      <c r="F553" s="1543"/>
      <c r="G553" s="2"/>
    </row>
    <row r="554" spans="1:7" ht="12" customHeight="1">
      <c r="A554" s="355"/>
      <c r="B554" s="355"/>
      <c r="C554" s="322"/>
      <c r="D554" s="287"/>
      <c r="E554" s="2"/>
      <c r="F554" s="2"/>
      <c r="G554" s="2"/>
    </row>
    <row r="555" spans="1:7" ht="14.4" customHeight="1">
      <c r="A555" s="413"/>
      <c r="B555" s="950" t="s">
        <v>1533</v>
      </c>
      <c r="C555" s="322"/>
      <c r="D555" s="1543" t="s">
        <v>1729</v>
      </c>
      <c r="E555" s="1543"/>
      <c r="F555" s="1543"/>
      <c r="G555" s="2"/>
    </row>
    <row r="556" spans="1:7" ht="13.2">
      <c r="A556" s="355"/>
      <c r="B556" s="355"/>
      <c r="C556" s="322"/>
      <c r="D556" s="1543"/>
      <c r="E556" s="1543"/>
      <c r="F556" s="1543"/>
      <c r="G556" s="2"/>
    </row>
    <row r="557" spans="1:7" ht="13.2">
      <c r="A557" s="355"/>
      <c r="B557" s="355"/>
      <c r="C557" s="322"/>
      <c r="D557" s="1543"/>
      <c r="E557" s="1543"/>
      <c r="F557" s="1543"/>
      <c r="G557" s="2"/>
    </row>
    <row r="558" spans="1:7" ht="13.2">
      <c r="A558" s="355"/>
      <c r="B558" s="355"/>
      <c r="C558" s="322"/>
      <c r="D558" s="287"/>
      <c r="E558" s="2"/>
      <c r="F558" s="2"/>
      <c r="G558" s="2"/>
    </row>
    <row r="559" spans="1:7" ht="14.4">
      <c r="A559" s="413"/>
      <c r="B559" s="950" t="s">
        <v>136</v>
      </c>
      <c r="C559" s="322"/>
      <c r="D559" s="1582" t="s">
        <v>1841</v>
      </c>
      <c r="E559" s="1581"/>
      <c r="F559" s="1581"/>
      <c r="G559" s="2"/>
    </row>
    <row r="560" spans="1:7" ht="13.2">
      <c r="A560" s="355"/>
      <c r="B560" s="355"/>
      <c r="C560" s="322"/>
      <c r="D560" s="1581"/>
      <c r="E560" s="1581"/>
      <c r="F560" s="1581"/>
      <c r="G560" s="2"/>
    </row>
    <row r="561" spans="1:7" ht="13.2">
      <c r="A561" s="355"/>
      <c r="B561" s="355"/>
      <c r="C561" s="322"/>
      <c r="D561" s="701"/>
      <c r="E561" s="282"/>
      <c r="F561" s="282"/>
      <c r="G561" s="2"/>
    </row>
    <row r="562" spans="1:7" ht="14.4">
      <c r="A562" s="413"/>
      <c r="B562" s="950" t="s">
        <v>136</v>
      </c>
      <c r="C562" s="322"/>
      <c r="D562" s="1543" t="s">
        <v>1731</v>
      </c>
      <c r="E562" s="1543"/>
      <c r="F562" s="1543"/>
      <c r="G562" s="2"/>
    </row>
    <row r="563" spans="1:7" ht="13.2">
      <c r="A563" s="355"/>
      <c r="B563" s="355"/>
      <c r="C563" s="322"/>
      <c r="D563" s="1543"/>
      <c r="E563" s="1543"/>
      <c r="F563" s="1543"/>
      <c r="G563" s="2"/>
    </row>
    <row r="564" spans="1:7" ht="12" customHeight="1">
      <c r="A564" s="355"/>
      <c r="B564" s="355"/>
      <c r="C564" s="322"/>
      <c r="D564" s="287"/>
      <c r="E564" s="282"/>
      <c r="F564" s="282"/>
      <c r="G564" s="2"/>
    </row>
    <row r="565" spans="1:7" ht="14.4">
      <c r="A565" s="413"/>
      <c r="B565" s="950" t="s">
        <v>1533</v>
      </c>
      <c r="C565" s="322"/>
      <c r="D565" s="1544" t="s">
        <v>1732</v>
      </c>
      <c r="E565" s="1544"/>
      <c r="F565" s="1544"/>
      <c r="G565" s="2"/>
    </row>
    <row r="566" spans="1:7" ht="14.4">
      <c r="A566" s="413"/>
      <c r="B566" s="413"/>
      <c r="C566" s="322"/>
      <c r="D566" s="1544" t="s">
        <v>1135</v>
      </c>
      <c r="E566" s="1544"/>
      <c r="F566" s="1544"/>
      <c r="G566" s="2"/>
    </row>
    <row r="567" spans="1:7" ht="13.2">
      <c r="A567" s="410"/>
      <c r="B567" s="410"/>
      <c r="C567" s="405"/>
      <c r="D567" s="282"/>
      <c r="E567" s="1584" t="s">
        <v>1733</v>
      </c>
      <c r="F567" s="1584"/>
      <c r="G567" s="2"/>
    </row>
    <row r="568" spans="1:7" ht="15" customHeight="1">
      <c r="A568" s="410"/>
      <c r="B568" s="410"/>
      <c r="C568" s="405"/>
      <c r="D568" s="1551" t="s">
        <v>1982</v>
      </c>
      <c r="E568" s="1548"/>
      <c r="F568" s="1548"/>
      <c r="G568" s="2"/>
    </row>
    <row r="569" spans="1:7" ht="13.2">
      <c r="A569" s="410"/>
      <c r="B569" s="410"/>
      <c r="C569" s="405"/>
      <c r="D569" s="1548"/>
      <c r="E569" s="1548"/>
      <c r="F569" s="1548"/>
      <c r="G569" s="2"/>
    </row>
    <row r="570" spans="1:7" ht="13.2">
      <c r="A570" s="410"/>
      <c r="B570" s="410"/>
      <c r="C570" s="405"/>
      <c r="D570" s="1548"/>
      <c r="E570" s="1548"/>
      <c r="F570" s="1548"/>
      <c r="G570" s="2"/>
    </row>
    <row r="571" spans="1:7" ht="13.2">
      <c r="A571" s="410"/>
      <c r="B571" s="410"/>
      <c r="C571" s="405"/>
      <c r="D571" s="1548"/>
      <c r="E571" s="1548"/>
      <c r="F571" s="1548"/>
      <c r="G571" s="2"/>
    </row>
    <row r="572" spans="1:7" ht="13.2">
      <c r="A572" s="410"/>
      <c r="B572" s="410"/>
      <c r="C572" s="405"/>
      <c r="D572" s="1548"/>
      <c r="E572" s="1548"/>
      <c r="F572" s="1548"/>
      <c r="G572" s="2"/>
    </row>
    <row r="573" spans="1:7" ht="13.2">
      <c r="A573" s="410"/>
      <c r="B573" s="410"/>
      <c r="C573" s="405"/>
      <c r="D573" s="1548"/>
      <c r="E573" s="1548"/>
      <c r="F573" s="1548"/>
      <c r="G573" s="2"/>
    </row>
    <row r="574" spans="1:7" ht="13.2">
      <c r="A574" s="410"/>
      <c r="B574" s="410"/>
      <c r="C574" s="405"/>
      <c r="D574" s="1548"/>
      <c r="E574" s="1548"/>
      <c r="F574" s="1548"/>
      <c r="G574" s="2"/>
    </row>
    <row r="575" spans="1:7" ht="13.2">
      <c r="A575" s="410"/>
      <c r="B575" s="410"/>
      <c r="C575" s="405"/>
      <c r="D575" s="1548"/>
      <c r="E575" s="1548"/>
      <c r="F575" s="1548"/>
      <c r="G575" s="2"/>
    </row>
    <row r="576" spans="1:7" ht="13.2">
      <c r="A576" s="410"/>
      <c r="B576" s="410"/>
      <c r="C576" s="405"/>
      <c r="D576" s="1548"/>
      <c r="E576" s="1548"/>
      <c r="F576" s="1548"/>
      <c r="G576" s="2"/>
    </row>
    <row r="577" spans="1:7" ht="13.2">
      <c r="A577" s="410"/>
      <c r="B577" s="410"/>
      <c r="C577" s="405"/>
      <c r="D577" s="954"/>
      <c r="E577" s="954"/>
      <c r="F577" s="954"/>
      <c r="G577" s="2"/>
    </row>
    <row r="578" spans="1:7" ht="14.4">
      <c r="A578" s="570"/>
      <c r="B578" s="950" t="s">
        <v>1533</v>
      </c>
      <c r="C578" s="405"/>
      <c r="D578" s="1589" t="s">
        <v>1734</v>
      </c>
      <c r="E578" s="1589"/>
      <c r="F578" s="1589"/>
      <c r="G578" s="2"/>
    </row>
    <row r="579" spans="1:7" ht="13.65" customHeight="1">
      <c r="A579" s="140"/>
      <c r="B579" s="140"/>
      <c r="C579" s="322"/>
      <c r="D579" s="1543" t="s">
        <v>1735</v>
      </c>
      <c r="E579" s="1543"/>
      <c r="F579" s="1543"/>
      <c r="G579" s="2"/>
    </row>
    <row r="580" spans="1:7" ht="13.2">
      <c r="A580" s="355"/>
      <c r="B580" s="355"/>
      <c r="C580" s="322"/>
      <c r="D580" s="1543"/>
      <c r="E580" s="1543"/>
      <c r="F580" s="1543"/>
      <c r="G580" s="2"/>
    </row>
    <row r="581" spans="1:7" ht="13.2">
      <c r="A581" s="355"/>
      <c r="B581" s="355"/>
      <c r="C581" s="322"/>
      <c r="D581" s="1543"/>
      <c r="E581" s="1543"/>
      <c r="F581" s="1543"/>
      <c r="G581" s="2"/>
    </row>
    <row r="582" spans="1:7" ht="13.2">
      <c r="A582" s="355"/>
      <c r="B582" s="355"/>
      <c r="C582" s="322"/>
      <c r="D582" s="980"/>
      <c r="E582" s="980"/>
      <c r="F582" s="980"/>
      <c r="G582" s="2"/>
    </row>
    <row r="583" spans="1:7" ht="14.4" customHeight="1">
      <c r="A583" s="413"/>
      <c r="B583" s="950" t="s">
        <v>1533</v>
      </c>
      <c r="C583" s="322"/>
      <c r="D583" s="1543" t="s">
        <v>1736</v>
      </c>
      <c r="E583" s="1543"/>
      <c r="F583" s="1543"/>
      <c r="G583" s="2"/>
    </row>
    <row r="584" spans="1:7" ht="14.4">
      <c r="A584" s="413"/>
      <c r="B584" s="413"/>
      <c r="C584" s="322"/>
      <c r="D584" s="1543"/>
      <c r="E584" s="1543"/>
      <c r="F584" s="1543"/>
      <c r="G584" s="2"/>
    </row>
    <row r="585" spans="1:7" ht="14.4">
      <c r="A585" s="413"/>
      <c r="B585" s="413"/>
      <c r="C585" s="322"/>
      <c r="D585" s="1543"/>
      <c r="E585" s="1543"/>
      <c r="F585" s="1543"/>
    </row>
    <row r="586" spans="1:7" ht="13.2">
      <c r="A586" s="355"/>
      <c r="B586" s="355"/>
      <c r="C586" s="322"/>
      <c r="D586" s="1543"/>
      <c r="E586" s="1543"/>
      <c r="F586" s="1543"/>
    </row>
    <row r="587" spans="1:7" ht="13.2">
      <c r="A587" s="355"/>
      <c r="B587" s="355"/>
      <c r="C587" s="322"/>
      <c r="D587" s="287"/>
      <c r="E587" s="282"/>
      <c r="F587" s="282"/>
    </row>
    <row r="588" spans="1:7" ht="13.2">
      <c r="A588" s="415"/>
      <c r="B588" s="950" t="s">
        <v>136</v>
      </c>
      <c r="C588" s="299"/>
      <c r="D588" s="1618" t="s">
        <v>2054</v>
      </c>
      <c r="E588" s="1562"/>
      <c r="F588" s="1562"/>
      <c r="G588" s="288"/>
    </row>
    <row r="589" spans="1:7" ht="13.2">
      <c r="A589" s="415"/>
      <c r="B589" s="415"/>
      <c r="C589" s="299"/>
      <c r="D589" s="282"/>
      <c r="E589" s="282"/>
      <c r="F589" s="282"/>
      <c r="G589" s="288"/>
    </row>
    <row r="590" spans="1:7" ht="13.2">
      <c r="A590" s="355"/>
      <c r="B590" s="355"/>
      <c r="C590" s="322"/>
      <c r="D590" s="959"/>
      <c r="E590" s="959"/>
      <c r="F590" s="959"/>
    </row>
    <row r="591" spans="1:7" ht="13.2">
      <c r="A591" s="1595" t="s">
        <v>1551</v>
      </c>
      <c r="B591" s="1595"/>
      <c r="C591" s="1595"/>
      <c r="D591" s="1595"/>
      <c r="E591" s="1595"/>
      <c r="F591" s="1595"/>
      <c r="G591" s="1595"/>
    </row>
    <row r="592" spans="1:7" ht="13.2">
      <c r="A592" s="355"/>
      <c r="B592" s="355"/>
      <c r="C592" s="322"/>
      <c r="D592" s="282"/>
      <c r="E592" s="282"/>
      <c r="F592" s="282"/>
    </row>
    <row r="593" spans="1:7" ht="13.2">
      <c r="A593" s="140"/>
      <c r="B593" s="140"/>
      <c r="C593" s="298"/>
      <c r="D593" s="1571" t="s">
        <v>182</v>
      </c>
      <c r="E593" s="1571"/>
      <c r="F593" s="1571"/>
      <c r="G593" s="288"/>
    </row>
    <row r="594" spans="1:7" ht="13.2">
      <c r="A594" s="140"/>
      <c r="B594" s="140"/>
      <c r="C594" s="298"/>
      <c r="D594" s="1588" t="s">
        <v>1612</v>
      </c>
      <c r="E594" s="1588"/>
      <c r="F594" s="1588"/>
      <c r="G594" s="288"/>
    </row>
    <row r="595" spans="1:7" ht="13.2">
      <c r="A595" s="140"/>
      <c r="B595" s="140"/>
      <c r="C595" s="298"/>
      <c r="D595" s="593"/>
      <c r="E595" s="282"/>
      <c r="F595" s="282"/>
      <c r="G595" s="288"/>
    </row>
    <row r="596" spans="1:7" ht="14.4">
      <c r="A596" s="413"/>
      <c r="B596" s="950" t="s">
        <v>1533</v>
      </c>
      <c r="C596" s="14"/>
      <c r="D596" s="1588" t="s">
        <v>1233</v>
      </c>
      <c r="E596" s="1588"/>
      <c r="F596" s="1588"/>
      <c r="G596" s="288"/>
    </row>
    <row r="597" spans="1:7" ht="13.2">
      <c r="A597" s="33"/>
      <c r="B597" s="33"/>
      <c r="C597" s="14"/>
      <c r="D597" s="597"/>
      <c r="E597" s="282"/>
      <c r="F597" s="282"/>
      <c r="G597" s="288"/>
    </row>
    <row r="598" spans="1:7" ht="14.4" customHeight="1">
      <c r="A598" s="413"/>
      <c r="B598" s="950" t="s">
        <v>1533</v>
      </c>
      <c r="C598" s="14"/>
      <c r="D598" s="1554" t="s">
        <v>1614</v>
      </c>
      <c r="E598" s="1554"/>
      <c r="F598" s="1554"/>
      <c r="G598" s="288"/>
    </row>
    <row r="599" spans="1:7" ht="14.4" customHeight="1">
      <c r="A599" s="413"/>
      <c r="B599" s="413"/>
      <c r="C599" s="14"/>
      <c r="D599" s="1554"/>
      <c r="E599" s="1554"/>
      <c r="F599" s="1554"/>
      <c r="G599" s="288"/>
    </row>
    <row r="600" spans="1:7" ht="14.4">
      <c r="A600" s="413"/>
      <c r="B600" s="413"/>
      <c r="C600" s="14"/>
      <c r="D600" s="1554"/>
      <c r="E600" s="1554"/>
      <c r="F600" s="1554"/>
      <c r="G600" s="288"/>
    </row>
    <row r="601" spans="1:7" ht="14.4">
      <c r="A601" s="413"/>
      <c r="B601" s="413"/>
      <c r="C601" s="14"/>
      <c r="D601" s="958"/>
      <c r="E601" s="958"/>
      <c r="F601" s="958"/>
      <c r="G601" s="288"/>
    </row>
    <row r="602" spans="1:7" ht="14.4">
      <c r="A602" s="413"/>
      <c r="B602" s="950" t="s">
        <v>136</v>
      </c>
      <c r="C602" s="14"/>
      <c r="D602" s="1554" t="s">
        <v>1613</v>
      </c>
      <c r="E602" s="1554"/>
      <c r="F602" s="1554"/>
      <c r="G602" s="288"/>
    </row>
    <row r="603" spans="1:7" ht="14.4">
      <c r="A603" s="413"/>
      <c r="B603" s="413"/>
      <c r="C603" s="14"/>
      <c r="D603" s="1554"/>
      <c r="E603" s="1554"/>
      <c r="F603" s="1554"/>
      <c r="G603" s="288"/>
    </row>
    <row r="604" spans="1:7" ht="14.4">
      <c r="A604" s="413"/>
      <c r="B604" s="413"/>
      <c r="C604" s="14"/>
      <c r="D604" s="1554"/>
      <c r="E604" s="1554"/>
      <c r="F604" s="1554"/>
      <c r="G604" s="288"/>
    </row>
    <row r="605" spans="1:7" ht="14.4">
      <c r="A605" s="413"/>
      <c r="B605" s="413"/>
      <c r="C605" s="14"/>
      <c r="D605" s="1554"/>
      <c r="E605" s="1554"/>
      <c r="F605" s="1554"/>
      <c r="G605" s="288"/>
    </row>
    <row r="606" spans="1:7" ht="14.4">
      <c r="A606" s="413"/>
      <c r="B606" s="413"/>
      <c r="C606" s="14"/>
      <c r="D606" s="593"/>
      <c r="E606" s="282"/>
      <c r="F606" s="282"/>
      <c r="G606" s="288"/>
    </row>
    <row r="607" spans="1:7" ht="14.4">
      <c r="A607" s="570"/>
      <c r="B607" s="950" t="s">
        <v>1533</v>
      </c>
      <c r="D607" s="1554" t="s">
        <v>1615</v>
      </c>
      <c r="E607" s="1554"/>
      <c r="F607" s="1554"/>
      <c r="G607" s="288"/>
    </row>
    <row r="608" spans="1:7" ht="14.4">
      <c r="A608" s="570"/>
      <c r="B608" s="570"/>
      <c r="D608" s="1554"/>
      <c r="E608" s="1554"/>
      <c r="F608" s="1554"/>
      <c r="G608" s="288"/>
    </row>
    <row r="609" spans="1:7" ht="14.4">
      <c r="A609" s="413"/>
      <c r="B609" s="413"/>
      <c r="C609" s="14"/>
      <c r="D609" s="593"/>
      <c r="E609" s="282"/>
      <c r="F609" s="282"/>
      <c r="G609" s="288"/>
    </row>
    <row r="610" spans="1:7" ht="14.4" customHeight="1">
      <c r="A610" s="413"/>
      <c r="B610" s="950" t="s">
        <v>136</v>
      </c>
      <c r="C610" s="14"/>
      <c r="D610" s="1588" t="s">
        <v>1621</v>
      </c>
      <c r="E610" s="1588"/>
      <c r="F610" s="1588"/>
      <c r="G610" s="288"/>
    </row>
    <row r="611" spans="1:7" ht="14.4">
      <c r="A611" s="413"/>
      <c r="B611" s="413"/>
      <c r="C611" s="14"/>
      <c r="D611" s="1588"/>
      <c r="E611" s="1588"/>
      <c r="F611" s="1588"/>
      <c r="G611" s="288"/>
    </row>
    <row r="612" spans="1:7" ht="14.4">
      <c r="A612" s="413"/>
      <c r="B612" s="413"/>
      <c r="C612" s="14"/>
      <c r="D612" s="593"/>
      <c r="E612" s="282"/>
      <c r="F612" s="282"/>
      <c r="G612" s="288"/>
    </row>
    <row r="613" spans="1:7" ht="14.4">
      <c r="A613" s="413"/>
      <c r="B613" s="950" t="s">
        <v>1533</v>
      </c>
      <c r="C613" s="14"/>
      <c r="D613" s="1588" t="s">
        <v>1234</v>
      </c>
      <c r="E613" s="1588"/>
      <c r="F613" s="1588"/>
      <c r="G613" s="288"/>
    </row>
    <row r="614" spans="1:7" ht="13.2">
      <c r="A614" s="33"/>
      <c r="B614" s="33"/>
      <c r="C614" s="14"/>
      <c r="D614" s="282"/>
      <c r="E614" s="282"/>
      <c r="F614" s="282"/>
      <c r="G614" s="288"/>
    </row>
    <row r="615" spans="1:7" ht="13.2">
      <c r="A615" s="1595" t="s">
        <v>1553</v>
      </c>
      <c r="B615" s="1595"/>
      <c r="C615" s="1595"/>
      <c r="D615" s="1595"/>
      <c r="E615" s="1595"/>
      <c r="F615" s="1595"/>
      <c r="G615" s="1595"/>
    </row>
    <row r="616" spans="1:7" ht="13.2">
      <c r="A616" s="107"/>
      <c r="B616" s="107"/>
      <c r="C616" s="302"/>
      <c r="D616" s="283"/>
      <c r="E616" s="283"/>
      <c r="F616" s="283"/>
      <c r="G616" s="288"/>
    </row>
    <row r="617" spans="1:7" ht="13.2">
      <c r="A617" s="140"/>
      <c r="B617" s="140"/>
      <c r="C617" s="299"/>
      <c r="D617" s="1586" t="s">
        <v>1552</v>
      </c>
      <c r="E617" s="1586"/>
      <c r="F617" s="1586"/>
    </row>
    <row r="618" spans="1:7" ht="13.2">
      <c r="A618" s="140"/>
      <c r="B618" s="140"/>
      <c r="C618" s="299"/>
      <c r="D618" s="1562" t="s">
        <v>1582</v>
      </c>
      <c r="E618" s="1562"/>
      <c r="F618" s="1562"/>
    </row>
    <row r="619" spans="1:7" ht="13.2">
      <c r="A619" s="984"/>
      <c r="B619" s="984"/>
      <c r="C619" s="299"/>
      <c r="D619" s="982"/>
      <c r="E619" s="982"/>
      <c r="F619" s="982"/>
    </row>
    <row r="620" spans="1:7" ht="14.4">
      <c r="A620" s="570"/>
      <c r="B620" s="950" t="s">
        <v>1533</v>
      </c>
      <c r="D620" s="1587" t="s">
        <v>1751</v>
      </c>
      <c r="E620" s="1587"/>
      <c r="F620" s="1587"/>
    </row>
    <row r="621" spans="1:7" ht="13.2">
      <c r="A621" s="140"/>
      <c r="B621" s="140"/>
      <c r="C621" s="14"/>
      <c r="D621" s="1587"/>
      <c r="E621" s="1587"/>
      <c r="F621" s="1587"/>
    </row>
    <row r="622" spans="1:7" ht="13.2">
      <c r="A622" s="140"/>
      <c r="B622" s="140"/>
      <c r="C622" s="14"/>
      <c r="D622" s="1587"/>
      <c r="E622" s="1587"/>
      <c r="F622" s="1587"/>
    </row>
    <row r="623" spans="1:7" ht="13.2">
      <c r="A623" s="107"/>
      <c r="B623" s="107"/>
      <c r="C623" s="302"/>
      <c r="D623" s="283"/>
      <c r="E623" s="283"/>
      <c r="F623" s="283"/>
      <c r="G623" s="288"/>
    </row>
    <row r="624" spans="1:7" ht="12" customHeight="1">
      <c r="A624" s="1595" t="s">
        <v>1555</v>
      </c>
      <c r="B624" s="1595"/>
      <c r="C624" s="1595"/>
      <c r="D624" s="1595"/>
      <c r="E624" s="1595"/>
      <c r="F624" s="1595"/>
      <c r="G624" s="1595"/>
    </row>
    <row r="625" spans="1:7" ht="13.2">
      <c r="A625" s="143"/>
      <c r="B625" s="143"/>
      <c r="C625" s="14"/>
      <c r="D625" s="282"/>
      <c r="E625" s="282"/>
      <c r="F625" s="282"/>
      <c r="G625" s="288"/>
    </row>
    <row r="626" spans="1:7" ht="13.2">
      <c r="A626" s="140"/>
      <c r="B626" s="140"/>
      <c r="C626" s="303"/>
      <c r="D626" s="1547" t="s">
        <v>1554</v>
      </c>
      <c r="E626" s="1547"/>
      <c r="F626" s="1547"/>
      <c r="G626" s="288"/>
    </row>
    <row r="627" spans="1:7" ht="13.2">
      <c r="A627" s="415"/>
      <c r="B627" s="415"/>
      <c r="C627" s="299"/>
      <c r="D627" s="1544" t="s">
        <v>1752</v>
      </c>
      <c r="E627" s="1544"/>
      <c r="F627" s="1544"/>
      <c r="G627" s="288"/>
    </row>
    <row r="628" spans="1:7" ht="13.2">
      <c r="A628" s="415"/>
      <c r="B628" s="415"/>
      <c r="C628" s="299"/>
      <c r="D628" s="282"/>
      <c r="E628" s="282"/>
      <c r="F628" s="282"/>
      <c r="G628" s="288"/>
    </row>
    <row r="629" spans="1:7" ht="14.4">
      <c r="A629" s="413"/>
      <c r="B629" s="413"/>
      <c r="C629" s="14"/>
      <c r="D629" s="1586" t="s">
        <v>956</v>
      </c>
      <c r="E629" s="1586"/>
      <c r="F629" s="1586"/>
      <c r="G629" s="288"/>
    </row>
    <row r="630" spans="1:7" ht="14.4">
      <c r="A630" s="413"/>
      <c r="B630" s="950" t="s">
        <v>1533</v>
      </c>
      <c r="C630" s="14"/>
      <c r="D630" s="1562" t="s">
        <v>1753</v>
      </c>
      <c r="E630" s="1562"/>
      <c r="F630" s="1562"/>
      <c r="G630" s="288"/>
    </row>
    <row r="631" spans="1:7" ht="14.4">
      <c r="A631" s="413"/>
      <c r="B631" s="413"/>
      <c r="C631" s="14"/>
      <c r="D631" s="287"/>
      <c r="E631" s="282"/>
      <c r="F631" s="282"/>
      <c r="G631" s="288"/>
    </row>
    <row r="632" spans="1:7" ht="14.4">
      <c r="A632" s="413"/>
      <c r="B632" s="950" t="s">
        <v>136</v>
      </c>
      <c r="C632" s="14"/>
      <c r="D632" s="1543" t="s">
        <v>1754</v>
      </c>
      <c r="E632" s="1543"/>
      <c r="F632" s="1543"/>
      <c r="G632" s="288"/>
    </row>
    <row r="633" spans="1:7" ht="14.4">
      <c r="A633" s="413"/>
      <c r="B633" s="413"/>
      <c r="C633" s="14"/>
      <c r="D633" s="1543"/>
      <c r="E633" s="1543"/>
      <c r="F633" s="1543"/>
      <c r="G633" s="288"/>
    </row>
    <row r="634" spans="1:7" ht="14.4">
      <c r="A634" s="413"/>
      <c r="B634" s="413"/>
      <c r="C634" s="14"/>
      <c r="D634" s="287"/>
      <c r="E634" s="282"/>
      <c r="F634" s="282"/>
      <c r="G634" s="288"/>
    </row>
    <row r="635" spans="1:7" ht="14.4">
      <c r="A635" s="570"/>
      <c r="B635" s="950" t="s">
        <v>1533</v>
      </c>
      <c r="D635" s="1551" t="s">
        <v>2200</v>
      </c>
      <c r="E635" s="1551"/>
      <c r="F635" s="1551"/>
      <c r="G635" s="288"/>
    </row>
    <row r="636" spans="1:7" ht="13.65" customHeight="1">
      <c r="D636" s="1551"/>
      <c r="E636" s="1551"/>
      <c r="F636" s="1551"/>
    </row>
    <row r="637" spans="1:7" ht="13.2">
      <c r="A637" s="140"/>
      <c r="B637" s="140"/>
      <c r="C637" s="14"/>
      <c r="D637" s="282"/>
      <c r="E637" s="282"/>
      <c r="F637" s="282"/>
      <c r="G637" s="288"/>
    </row>
    <row r="638" spans="1:7" ht="14.4">
      <c r="A638" s="413"/>
      <c r="B638" s="950" t="s">
        <v>1533</v>
      </c>
      <c r="C638" s="14"/>
      <c r="D638" s="1562" t="s">
        <v>1755</v>
      </c>
      <c r="E638" s="1562"/>
      <c r="F638" s="1562"/>
      <c r="G638" s="288"/>
    </row>
    <row r="639" spans="1:7" ht="13.2">
      <c r="A639" s="418"/>
      <c r="B639" s="418"/>
      <c r="C639" s="303"/>
      <c r="D639" s="282"/>
      <c r="E639" s="282"/>
      <c r="F639" s="282"/>
      <c r="G639" s="288"/>
    </row>
    <row r="640" spans="1:7" ht="13.2">
      <c r="A640" s="1595" t="s">
        <v>1556</v>
      </c>
      <c r="B640" s="1595"/>
      <c r="C640" s="1595"/>
      <c r="D640" s="1595"/>
      <c r="E640" s="1595"/>
      <c r="F640" s="1595"/>
      <c r="G640" s="1595"/>
    </row>
    <row r="641" spans="1:7" ht="13.2">
      <c r="A641" s="418"/>
      <c r="B641" s="418"/>
      <c r="C641" s="303"/>
      <c r="D641" s="282"/>
      <c r="E641" s="282"/>
      <c r="F641" s="282"/>
      <c r="G641" s="288"/>
    </row>
    <row r="642" spans="1:7" ht="13.2">
      <c r="A642" s="140"/>
      <c r="B642" s="140"/>
      <c r="C642" s="320"/>
      <c r="D642" s="1573" t="s">
        <v>1583</v>
      </c>
      <c r="E642" s="1573"/>
      <c r="F642" s="1573"/>
      <c r="G642" s="288"/>
    </row>
    <row r="643" spans="1:7" ht="13.2">
      <c r="A643" s="33"/>
      <c r="B643" s="33"/>
      <c r="C643" s="302"/>
      <c r="D643" s="6"/>
      <c r="E643" s="283"/>
      <c r="F643" s="283"/>
      <c r="G643" s="288"/>
    </row>
    <row r="644" spans="1:7" ht="14.4">
      <c r="A644" s="413"/>
      <c r="B644" s="950" t="s">
        <v>1533</v>
      </c>
      <c r="C644" s="302"/>
      <c r="D644" s="1574" t="s">
        <v>1756</v>
      </c>
      <c r="E644" s="1574"/>
      <c r="F644" s="1574"/>
      <c r="G644" s="288"/>
    </row>
    <row r="645" spans="1:7" ht="14.4">
      <c r="A645" s="413"/>
      <c r="B645" s="413"/>
      <c r="C645" s="302"/>
      <c r="D645" s="1574"/>
      <c r="E645" s="1574"/>
      <c r="F645" s="1574"/>
      <c r="G645" s="288"/>
    </row>
    <row r="646" spans="1:7" ht="13.2">
      <c r="A646" s="140"/>
      <c r="B646" s="140"/>
      <c r="C646" s="302"/>
      <c r="D646" s="1574"/>
      <c r="E646" s="1574"/>
      <c r="F646" s="1574"/>
      <c r="G646" s="288"/>
    </row>
    <row r="647" spans="1:7" ht="13.2">
      <c r="A647" s="140"/>
      <c r="B647" s="140"/>
      <c r="C647" s="302"/>
      <c r="D647" s="1574"/>
      <c r="E647" s="1574"/>
      <c r="F647" s="1574"/>
      <c r="G647" s="288"/>
    </row>
    <row r="648" spans="1:7" ht="13.2">
      <c r="A648" s="140"/>
      <c r="B648" s="140"/>
      <c r="C648" s="302"/>
      <c r="D648" s="1574"/>
      <c r="E648" s="1574"/>
      <c r="F648" s="1574"/>
      <c r="G648" s="288"/>
    </row>
    <row r="649" spans="1:7" ht="13.2">
      <c r="A649" s="140"/>
      <c r="B649" s="140"/>
      <c r="C649" s="302"/>
      <c r="D649" s="1574"/>
      <c r="E649" s="1574"/>
      <c r="F649" s="1574"/>
      <c r="G649" s="288"/>
    </row>
    <row r="650" spans="1:7" ht="13.2">
      <c r="A650" s="140"/>
      <c r="B650" s="140"/>
      <c r="C650" s="302"/>
      <c r="D650" s="282"/>
      <c r="E650" s="283"/>
      <c r="F650" s="283"/>
      <c r="G650" s="288"/>
    </row>
    <row r="651" spans="1:7" ht="14.4">
      <c r="A651" s="485"/>
      <c r="B651" s="950" t="s">
        <v>136</v>
      </c>
      <c r="C651" s="302"/>
      <c r="D651" s="1574" t="s">
        <v>1757</v>
      </c>
      <c r="E651" s="1574"/>
      <c r="F651" s="1574"/>
      <c r="G651" s="284"/>
    </row>
    <row r="652" spans="1:7" ht="14.4">
      <c r="A652" s="485"/>
      <c r="B652" s="485"/>
      <c r="C652" s="302"/>
      <c r="D652" s="1574"/>
      <c r="E652" s="1574"/>
      <c r="F652" s="1574"/>
      <c r="G652" s="284"/>
    </row>
    <row r="653" spans="1:7" ht="14.4">
      <c r="A653" s="485"/>
      <c r="B653" s="485"/>
      <c r="C653" s="302"/>
      <c r="D653" s="287"/>
      <c r="E653" s="286"/>
      <c r="F653" s="286"/>
      <c r="G653" s="284"/>
    </row>
    <row r="654" spans="1:7" ht="13.65" customHeight="1">
      <c r="A654" s="485"/>
      <c r="B654" s="950" t="s">
        <v>136</v>
      </c>
      <c r="C654" s="302"/>
      <c r="D654" s="1576" t="s">
        <v>2055</v>
      </c>
      <c r="E654" s="1576"/>
      <c r="F654" s="1576"/>
      <c r="G654" s="284"/>
    </row>
    <row r="655" spans="1:7" ht="14.4">
      <c r="A655" s="485"/>
      <c r="B655" s="485"/>
      <c r="C655" s="302"/>
      <c r="D655" s="1576"/>
      <c r="E655" s="1576"/>
      <c r="F655" s="1576"/>
      <c r="G655" s="284"/>
    </row>
    <row r="656" spans="1:7" ht="14.4">
      <c r="A656" s="570"/>
      <c r="B656" s="570"/>
      <c r="C656" s="285"/>
      <c r="D656" s="988"/>
      <c r="E656" s="988"/>
      <c r="F656" s="988"/>
      <c r="G656" s="284"/>
    </row>
    <row r="657" spans="1:9" ht="14.4">
      <c r="A657" s="413"/>
      <c r="B657" s="950" t="s">
        <v>136</v>
      </c>
      <c r="C657" s="322"/>
      <c r="D657" s="1575" t="s">
        <v>1758</v>
      </c>
      <c r="E657" s="1575"/>
      <c r="F657" s="1575"/>
      <c r="G657" s="284"/>
    </row>
    <row r="658" spans="1:9" ht="13.2">
      <c r="A658" s="143"/>
      <c r="B658" s="143"/>
      <c r="C658" s="322"/>
      <c r="D658" s="286"/>
      <c r="E658" s="286"/>
      <c r="F658" s="286"/>
      <c r="G658" s="284"/>
      <c r="H658" s="404"/>
      <c r="I658" s="404"/>
    </row>
    <row r="659" spans="1:9" ht="13.2">
      <c r="A659" s="1595" t="s">
        <v>1558</v>
      </c>
      <c r="B659" s="1595"/>
      <c r="C659" s="1595"/>
      <c r="D659" s="1595"/>
      <c r="E659" s="1595"/>
      <c r="F659" s="1595"/>
      <c r="G659" s="1595"/>
    </row>
    <row r="660" spans="1:9" ht="13.2">
      <c r="A660" s="143"/>
      <c r="B660" s="143"/>
      <c r="C660" s="322"/>
      <c r="D660" s="286"/>
      <c r="E660" s="286"/>
      <c r="F660" s="286"/>
      <c r="G660" s="284"/>
    </row>
    <row r="661" spans="1:9" ht="13.2">
      <c r="A661" s="140"/>
      <c r="B661" s="140"/>
      <c r="C661" s="303"/>
      <c r="D661" s="1577" t="s">
        <v>1557</v>
      </c>
      <c r="E661" s="1577"/>
      <c r="F661" s="1577"/>
      <c r="G661" s="284"/>
    </row>
    <row r="662" spans="1:9" ht="13.2">
      <c r="A662" s="415"/>
      <c r="B662" s="415"/>
      <c r="C662" s="299"/>
      <c r="D662" s="1578" t="s">
        <v>1584</v>
      </c>
      <c r="E662" s="1578"/>
      <c r="F662" s="1578"/>
      <c r="G662" s="284"/>
    </row>
    <row r="663" spans="1:9" ht="13.2">
      <c r="A663" s="415"/>
      <c r="B663" s="415"/>
      <c r="C663" s="299"/>
      <c r="D663" s="994"/>
      <c r="E663" s="994"/>
      <c r="F663" s="994"/>
      <c r="G663" s="284"/>
    </row>
    <row r="664" spans="1:9" ht="14.4" customHeight="1">
      <c r="A664" s="413"/>
      <c r="B664" s="950" t="s">
        <v>1533</v>
      </c>
      <c r="C664" s="322"/>
      <c r="D664" s="1515" t="s">
        <v>2146</v>
      </c>
      <c r="E664" s="1515"/>
      <c r="F664" s="1515"/>
      <c r="G664" s="284"/>
    </row>
    <row r="665" spans="1:9" ht="14.4">
      <c r="A665" s="413"/>
      <c r="B665" s="413"/>
      <c r="C665" s="322"/>
      <c r="D665" s="1515"/>
      <c r="E665" s="1515"/>
      <c r="F665" s="1515"/>
      <c r="G665" s="284"/>
    </row>
    <row r="666" spans="1:9" ht="14.4">
      <c r="A666" s="413"/>
      <c r="B666" s="413"/>
      <c r="C666" s="322"/>
      <c r="D666" s="1515"/>
      <c r="E666" s="1515"/>
      <c r="F666" s="1515"/>
      <c r="G666" s="284"/>
    </row>
    <row r="667" spans="1:9" ht="14.4">
      <c r="A667" s="413"/>
      <c r="B667" s="413"/>
      <c r="C667" s="322"/>
      <c r="D667" s="1515"/>
      <c r="E667" s="1515"/>
      <c r="F667" s="1515"/>
      <c r="G667" s="284"/>
    </row>
    <row r="668" spans="1:9" ht="14.4">
      <c r="A668" s="413"/>
      <c r="B668" s="413"/>
      <c r="C668" s="322"/>
      <c r="D668" s="1515"/>
      <c r="E668" s="1515"/>
      <c r="F668" s="1515"/>
      <c r="G668" s="284"/>
    </row>
    <row r="669" spans="1:9" ht="14.4">
      <c r="A669" s="413"/>
      <c r="B669" s="413"/>
      <c r="C669" s="322"/>
      <c r="D669" s="1515"/>
      <c r="E669" s="1515"/>
      <c r="F669" s="1515"/>
      <c r="G669" s="284"/>
    </row>
    <row r="670" spans="1:9" ht="14.4" hidden="1">
      <c r="A670" s="570"/>
      <c r="B670" s="570"/>
      <c r="C670" s="405"/>
      <c r="D670" s="710"/>
      <c r="F670" s="284"/>
      <c r="G670" s="284"/>
    </row>
    <row r="671" spans="1:9" ht="14.4" hidden="1">
      <c r="A671" s="570"/>
      <c r="B671" s="950" t="s">
        <v>86</v>
      </c>
      <c r="C671" s="405"/>
      <c r="D671" s="1555" t="s">
        <v>1610</v>
      </c>
      <c r="E671" s="1555"/>
      <c r="F671" s="1555"/>
      <c r="G671" s="284"/>
    </row>
    <row r="672" spans="1:9" ht="14.4" hidden="1">
      <c r="A672" s="570"/>
      <c r="B672" s="570"/>
      <c r="C672" s="405"/>
      <c r="D672" s="1579" t="s">
        <v>1787</v>
      </c>
      <c r="E672" s="1579"/>
      <c r="F672" s="1579"/>
      <c r="G672" s="284"/>
    </row>
    <row r="673" spans="1:7" ht="14.4" hidden="1">
      <c r="A673" s="570"/>
      <c r="B673" s="570"/>
      <c r="C673" s="405"/>
      <c r="D673" s="1579"/>
      <c r="E673" s="1579"/>
      <c r="F673" s="1579"/>
      <c r="G673" s="284"/>
    </row>
    <row r="674" spans="1:7" ht="14.4" hidden="1">
      <c r="A674" s="570"/>
      <c r="B674" s="570"/>
      <c r="C674" s="405"/>
      <c r="D674" s="1579"/>
      <c r="E674" s="1579"/>
      <c r="F674" s="1579"/>
      <c r="G674" s="284"/>
    </row>
    <row r="675" spans="1:7" ht="14.4" hidden="1">
      <c r="A675" s="570"/>
      <c r="B675" s="570"/>
      <c r="C675" s="405"/>
      <c r="D675" s="1579"/>
      <c r="E675" s="1579"/>
      <c r="F675" s="1579"/>
      <c r="G675" s="284"/>
    </row>
    <row r="676" spans="1:7" ht="14.4" hidden="1">
      <c r="A676" s="570"/>
      <c r="B676" s="570"/>
      <c r="C676" s="405"/>
      <c r="D676" s="1579"/>
      <c r="E676" s="1579"/>
      <c r="F676" s="1579"/>
      <c r="G676" s="284"/>
    </row>
    <row r="677" spans="1:7" ht="14.4" hidden="1">
      <c r="A677" s="570"/>
      <c r="B677" s="570"/>
      <c r="C677" s="405"/>
      <c r="D677" s="1580" t="s">
        <v>2145</v>
      </c>
      <c r="E677" s="1580"/>
      <c r="F677" s="1580"/>
      <c r="G677" s="284"/>
    </row>
    <row r="678" spans="1:7" ht="13.2">
      <c r="A678" s="143"/>
      <c r="B678" s="143"/>
      <c r="C678" s="322"/>
      <c r="D678" s="286"/>
      <c r="E678" s="286"/>
      <c r="F678" s="286"/>
      <c r="G678" s="284"/>
    </row>
    <row r="679" spans="1:7" ht="13.2">
      <c r="A679" s="1595" t="s">
        <v>1559</v>
      </c>
      <c r="B679" s="1595"/>
      <c r="C679" s="1595"/>
      <c r="D679" s="1595"/>
      <c r="E679" s="1595"/>
      <c r="F679" s="1595"/>
      <c r="G679" s="1595"/>
    </row>
    <row r="680" spans="1:7" ht="13.2">
      <c r="A680" s="143"/>
      <c r="B680" s="143"/>
      <c r="C680" s="322"/>
      <c r="D680" s="286"/>
      <c r="E680" s="286"/>
      <c r="F680" s="286"/>
      <c r="G680" s="284"/>
    </row>
    <row r="681" spans="1:7" ht="13.2">
      <c r="A681" s="140"/>
      <c r="B681" s="140"/>
      <c r="C681" s="303"/>
      <c r="D681" s="1547" t="s">
        <v>856</v>
      </c>
      <c r="E681" s="1547"/>
      <c r="F681" s="1547"/>
      <c r="G681" s="284"/>
    </row>
    <row r="682" spans="1:7" ht="13.2">
      <c r="A682" s="418"/>
      <c r="B682" s="418"/>
      <c r="C682" s="303"/>
      <c r="D682" s="1547" t="s">
        <v>957</v>
      </c>
      <c r="E682" s="1547"/>
      <c r="F682" s="1547"/>
      <c r="G682" s="284"/>
    </row>
    <row r="683" spans="1:7" ht="13.2">
      <c r="A683" s="415"/>
      <c r="B683" s="415"/>
      <c r="C683" s="299"/>
      <c r="D683" s="1544" t="s">
        <v>1713</v>
      </c>
      <c r="E683" s="1544"/>
      <c r="F683" s="1544"/>
      <c r="G683" s="288"/>
    </row>
    <row r="684" spans="1:7" ht="14.25" customHeight="1">
      <c r="A684" s="415"/>
      <c r="B684" s="415"/>
      <c r="C684" s="299"/>
      <c r="D684" s="282"/>
      <c r="E684" s="282"/>
      <c r="F684" s="282"/>
      <c r="G684" s="288"/>
    </row>
    <row r="685" spans="1:7" ht="14.4">
      <c r="A685" s="413"/>
      <c r="B685" s="950" t="s">
        <v>1533</v>
      </c>
      <c r="C685" s="299"/>
      <c r="D685" s="1544" t="s">
        <v>1235</v>
      </c>
      <c r="E685" s="1544"/>
      <c r="F685" s="1544"/>
      <c r="G685" s="288"/>
    </row>
    <row r="686" spans="1:7" ht="13.2">
      <c r="A686" s="415"/>
      <c r="B686" s="415"/>
      <c r="C686" s="299"/>
      <c r="D686" s="1544" t="s">
        <v>1256</v>
      </c>
      <c r="E686" s="1544"/>
      <c r="F686" s="1544"/>
      <c r="G686" s="288"/>
    </row>
    <row r="687" spans="1:7" ht="13.2">
      <c r="A687" s="415"/>
      <c r="B687" s="415"/>
      <c r="C687" s="299"/>
      <c r="D687" s="282"/>
      <c r="E687" s="1572" t="s">
        <v>1718</v>
      </c>
      <c r="F687" s="1572"/>
      <c r="G687" s="288"/>
    </row>
    <row r="688" spans="1:7" ht="13.2">
      <c r="A688" s="415"/>
      <c r="B688" s="415"/>
      <c r="C688" s="299"/>
      <c r="D688" s="282"/>
      <c r="E688" s="1572"/>
      <c r="F688" s="1572"/>
      <c r="G688" s="288"/>
    </row>
    <row r="689" spans="1:7" ht="13.2">
      <c r="A689" s="415"/>
      <c r="B689" s="415"/>
      <c r="C689" s="299"/>
      <c r="D689" s="332"/>
      <c r="E689" s="332"/>
      <c r="F689" s="332"/>
      <c r="G689" s="288"/>
    </row>
    <row r="690" spans="1:7" ht="14.4">
      <c r="A690" s="413"/>
      <c r="B690" s="950" t="s">
        <v>136</v>
      </c>
      <c r="C690" s="299"/>
      <c r="D690" s="1543" t="s">
        <v>1715</v>
      </c>
      <c r="E690" s="1543"/>
      <c r="F690" s="1543"/>
      <c r="G690" s="288"/>
    </row>
    <row r="691" spans="1:7" ht="13.2">
      <c r="A691" s="33"/>
      <c r="B691" s="33"/>
      <c r="C691" s="299"/>
      <c r="D691" s="1543"/>
      <c r="E691" s="1543"/>
      <c r="F691" s="1543"/>
      <c r="G691" s="288"/>
    </row>
    <row r="692" spans="1:7" ht="13.2">
      <c r="A692" s="415"/>
      <c r="B692" s="415"/>
      <c r="C692" s="299"/>
      <c r="D692" s="1543"/>
      <c r="E692" s="1543"/>
      <c r="F692" s="1543"/>
      <c r="G692" s="288"/>
    </row>
    <row r="693" spans="1:7" ht="13.2">
      <c r="A693" s="415"/>
      <c r="B693" s="415"/>
      <c r="C693" s="299"/>
      <c r="D693" s="282"/>
      <c r="E693" s="282"/>
      <c r="F693" s="282"/>
      <c r="G693" s="288"/>
    </row>
    <row r="694" spans="1:7" ht="14.4">
      <c r="A694" s="413"/>
      <c r="B694" s="950" t="s">
        <v>1533</v>
      </c>
      <c r="C694" s="299"/>
      <c r="D694" s="1544" t="s">
        <v>1301</v>
      </c>
      <c r="E694" s="1544"/>
      <c r="F694" s="1544"/>
      <c r="G694" s="288"/>
    </row>
    <row r="695" spans="1:7" ht="14.4">
      <c r="A695" s="413"/>
      <c r="B695" s="413"/>
      <c r="C695" s="299"/>
      <c r="D695" s="1544" t="s">
        <v>1256</v>
      </c>
      <c r="E695" s="1544"/>
      <c r="F695" s="1544"/>
      <c r="G695" s="288"/>
    </row>
    <row r="696" spans="1:7" ht="13.2">
      <c r="A696" s="415"/>
      <c r="B696" s="415"/>
      <c r="C696" s="299"/>
      <c r="D696" s="282"/>
      <c r="E696" s="1584" t="s">
        <v>1716</v>
      </c>
      <c r="F696" s="1584"/>
      <c r="G696" s="288"/>
    </row>
    <row r="697" spans="1:7" ht="13.2">
      <c r="A697" s="415"/>
      <c r="B697" s="415"/>
      <c r="C697" s="299"/>
      <c r="D697" s="6"/>
      <c r="E697" s="282"/>
      <c r="F697" s="282"/>
      <c r="G697" s="288"/>
    </row>
    <row r="698" spans="1:7" ht="14.4">
      <c r="A698" s="413"/>
      <c r="B698" s="950" t="s">
        <v>1533</v>
      </c>
      <c r="C698" s="299"/>
      <c r="D698" s="1581" t="s">
        <v>1717</v>
      </c>
      <c r="E698" s="1581"/>
      <c r="F698" s="1581"/>
      <c r="G698" s="288"/>
    </row>
    <row r="699" spans="1:7" ht="13.2">
      <c r="A699" s="415"/>
      <c r="B699" s="415"/>
      <c r="C699" s="299"/>
      <c r="D699" s="1581"/>
      <c r="E699" s="1581"/>
      <c r="F699" s="1581"/>
      <c r="G699" s="288"/>
    </row>
    <row r="700" spans="1:7" ht="13.2">
      <c r="A700" s="415"/>
      <c r="B700" s="415"/>
      <c r="C700" s="299"/>
      <c r="D700" s="1581"/>
      <c r="E700" s="1581"/>
      <c r="F700" s="1581"/>
      <c r="G700" s="288"/>
    </row>
    <row r="701" spans="1:7" ht="13.2">
      <c r="A701" s="415"/>
      <c r="B701" s="415"/>
      <c r="C701" s="299"/>
      <c r="D701" s="1581"/>
      <c r="E701" s="1581"/>
      <c r="F701" s="1581"/>
      <c r="G701" s="288"/>
    </row>
    <row r="702" spans="1:7" ht="13.2">
      <c r="A702" s="415"/>
      <c r="B702" s="415"/>
      <c r="C702" s="299"/>
      <c r="D702" s="1581"/>
      <c r="E702" s="1581"/>
      <c r="F702" s="1581"/>
      <c r="G702" s="288"/>
    </row>
    <row r="703" spans="1:7" ht="13.2">
      <c r="A703" s="415"/>
      <c r="B703" s="415"/>
      <c r="C703" s="299"/>
      <c r="D703" s="1581"/>
      <c r="E703" s="1581"/>
      <c r="F703" s="1581"/>
      <c r="G703" s="288"/>
    </row>
    <row r="704" spans="1:7" ht="13.2">
      <c r="A704" s="415"/>
      <c r="B704" s="415"/>
      <c r="C704" s="299"/>
      <c r="D704" s="1581"/>
      <c r="E704" s="1581"/>
      <c r="F704" s="1581"/>
      <c r="G704" s="288"/>
    </row>
    <row r="705" spans="1:7" ht="13.2">
      <c r="A705" s="415"/>
      <c r="B705" s="950" t="s">
        <v>1533</v>
      </c>
      <c r="C705" s="299"/>
      <c r="D705" s="1582" t="s">
        <v>1959</v>
      </c>
      <c r="E705" s="1581"/>
      <c r="F705" s="1581"/>
      <c r="G705" s="288"/>
    </row>
    <row r="706" spans="1:7" ht="13.2">
      <c r="A706" s="415"/>
      <c r="B706" s="415"/>
      <c r="C706" s="299"/>
      <c r="D706" s="1581"/>
      <c r="E706" s="1581"/>
      <c r="F706" s="1581"/>
      <c r="G706" s="288"/>
    </row>
    <row r="707" spans="1:7" ht="13.2">
      <c r="A707" s="415"/>
      <c r="B707" s="415"/>
      <c r="C707" s="299"/>
      <c r="D707" s="136"/>
      <c r="E707" s="282"/>
      <c r="F707" s="282"/>
      <c r="G707" s="288"/>
    </row>
    <row r="708" spans="1:7" ht="14.4" customHeight="1">
      <c r="A708" s="413"/>
      <c r="B708" s="950" t="s">
        <v>136</v>
      </c>
      <c r="C708" s="299"/>
      <c r="D708" s="1581" t="s">
        <v>1719</v>
      </c>
      <c r="E708" s="1581"/>
      <c r="F708" s="1581"/>
      <c r="G708" s="288"/>
    </row>
    <row r="709" spans="1:7" ht="13.2">
      <c r="A709" s="415"/>
      <c r="B709" s="415"/>
      <c r="C709" s="299"/>
      <c r="D709" s="1581"/>
      <c r="E709" s="1581"/>
      <c r="F709" s="1581"/>
      <c r="G709" s="288"/>
    </row>
    <row r="710" spans="1:7" ht="13.2">
      <c r="A710" s="415"/>
      <c r="B710" s="415"/>
      <c r="C710" s="299"/>
      <c r="D710" s="1581"/>
      <c r="E710" s="1581"/>
      <c r="F710" s="1581"/>
      <c r="G710" s="288"/>
    </row>
    <row r="711" spans="1:7" ht="13.2">
      <c r="A711" s="415"/>
      <c r="B711" s="415"/>
      <c r="C711" s="299"/>
      <c r="D711" s="1581"/>
      <c r="E711" s="1581"/>
      <c r="F711" s="1581"/>
      <c r="G711" s="288"/>
    </row>
    <row r="712" spans="1:7" ht="13.2">
      <c r="A712" s="415"/>
      <c r="B712" s="415"/>
      <c r="C712" s="299"/>
      <c r="D712" s="1581"/>
      <c r="E712" s="1581"/>
      <c r="F712" s="1581"/>
      <c r="G712" s="288"/>
    </row>
    <row r="713" spans="1:7" ht="13.2">
      <c r="A713" s="415"/>
      <c r="B713" s="415"/>
      <c r="C713" s="299"/>
      <c r="D713" s="1581"/>
      <c r="E713" s="1581"/>
      <c r="F713" s="1581"/>
      <c r="G713" s="288"/>
    </row>
    <row r="714" spans="1:7" ht="13.2">
      <c r="A714" s="415"/>
      <c r="B714" s="415"/>
      <c r="C714" s="299"/>
      <c r="D714" s="1581"/>
      <c r="E714" s="1581"/>
      <c r="F714" s="1581"/>
      <c r="G714" s="288"/>
    </row>
    <row r="715" spans="1:7" ht="13.2">
      <c r="A715" s="415"/>
      <c r="B715" s="415"/>
      <c r="C715" s="299"/>
      <c r="D715" s="1581"/>
      <c r="E715" s="1581"/>
      <c r="F715" s="1581"/>
      <c r="G715" s="288"/>
    </row>
    <row r="716" spans="1:7" ht="13.2">
      <c r="A716" s="415"/>
      <c r="B716" s="415"/>
      <c r="C716" s="299"/>
      <c r="D716" s="1581"/>
      <c r="E716" s="1581"/>
      <c r="F716" s="1581"/>
      <c r="G716" s="288"/>
    </row>
    <row r="717" spans="1:7" ht="13.2">
      <c r="A717" s="415"/>
      <c r="B717" s="415"/>
      <c r="C717" s="299"/>
      <c r="D717" s="1581"/>
      <c r="E717" s="1581"/>
      <c r="F717" s="1581"/>
      <c r="G717" s="288"/>
    </row>
    <row r="718" spans="1:7" ht="13.2">
      <c r="A718" s="415"/>
      <c r="B718" s="415"/>
      <c r="C718" s="299"/>
      <c r="D718" s="1581"/>
      <c r="E718" s="1581"/>
      <c r="F718" s="1581"/>
      <c r="G718" s="288"/>
    </row>
    <row r="719" spans="1:7" ht="13.2">
      <c r="A719" s="415"/>
      <c r="B719" s="415"/>
      <c r="C719" s="299"/>
      <c r="D719" s="1581"/>
      <c r="E719" s="1581"/>
      <c r="F719" s="1581"/>
      <c r="G719" s="288"/>
    </row>
    <row r="720" spans="1:7" ht="13.2">
      <c r="A720" s="415"/>
      <c r="B720" s="415"/>
      <c r="C720" s="299"/>
      <c r="D720" s="1581"/>
      <c r="E720" s="1581"/>
      <c r="F720" s="1581"/>
      <c r="G720" s="288"/>
    </row>
    <row r="721" spans="1:9" s="50" customFormat="1" ht="13.2">
      <c r="A721" s="415"/>
      <c r="B721" s="950" t="s">
        <v>136</v>
      </c>
      <c r="C721" s="415"/>
      <c r="D721" s="1581" t="s">
        <v>1723</v>
      </c>
      <c r="E721" s="1581"/>
      <c r="F721" s="1581"/>
      <c r="G721" s="71"/>
      <c r="H721" s="886"/>
      <c r="I721" s="1086"/>
    </row>
    <row r="722" spans="1:9" s="50" customFormat="1" ht="13.2">
      <c r="A722" s="415"/>
      <c r="B722" s="415"/>
      <c r="C722" s="415"/>
      <c r="D722" s="1581"/>
      <c r="E722" s="1581"/>
      <c r="F722" s="1581"/>
      <c r="G722" s="71"/>
      <c r="H722" s="886"/>
      <c r="I722" s="1086"/>
    </row>
    <row r="723" spans="1:9" s="50" customFormat="1" ht="13.2">
      <c r="A723" s="415"/>
      <c r="B723" s="415"/>
      <c r="C723" s="415"/>
      <c r="D723" s="978"/>
      <c r="E723" s="978"/>
      <c r="F723" s="978"/>
      <c r="G723" s="71"/>
      <c r="H723" s="886"/>
      <c r="I723" s="1086"/>
    </row>
    <row r="724" spans="1:9" s="50" customFormat="1" ht="13.2">
      <c r="A724" s="415"/>
      <c r="B724" s="950" t="s">
        <v>136</v>
      </c>
      <c r="C724" s="415"/>
      <c r="D724" s="1581" t="s">
        <v>1724</v>
      </c>
      <c r="E724" s="1581"/>
      <c r="F724" s="1581"/>
      <c r="G724" s="71"/>
      <c r="H724" s="886"/>
      <c r="I724" s="1086"/>
    </row>
    <row r="725" spans="1:9" s="50" customFormat="1" ht="13.2">
      <c r="A725" s="415"/>
      <c r="B725" s="415"/>
      <c r="C725" s="415"/>
      <c r="D725" s="1581"/>
      <c r="E725" s="1581"/>
      <c r="F725" s="1581"/>
      <c r="G725" s="71"/>
      <c r="H725" s="886"/>
      <c r="I725" s="1086"/>
    </row>
    <row r="726" spans="1:9" s="50" customFormat="1" ht="13.2">
      <c r="A726" s="415"/>
      <c r="B726" s="415"/>
      <c r="C726" s="415"/>
      <c r="D726" s="1581"/>
      <c r="E726" s="1581"/>
      <c r="F726" s="1581"/>
      <c r="G726" s="71"/>
      <c r="H726" s="886"/>
      <c r="I726" s="1086"/>
    </row>
    <row r="727" spans="1:9" s="50" customFormat="1" ht="13.2">
      <c r="A727" s="415"/>
      <c r="B727" s="415"/>
      <c r="C727" s="415"/>
      <c r="D727" s="978"/>
      <c r="E727" s="978"/>
      <c r="F727" s="978"/>
      <c r="G727" s="71"/>
      <c r="H727" s="886"/>
      <c r="I727" s="1086"/>
    </row>
    <row r="728" spans="1:9" ht="14.4" customHeight="1">
      <c r="A728" s="413"/>
      <c r="B728" s="950" t="s">
        <v>1533</v>
      </c>
      <c r="C728" s="299"/>
      <c r="D728" s="1582" t="s">
        <v>2201</v>
      </c>
      <c r="E728" s="1581"/>
      <c r="F728" s="1581"/>
      <c r="G728" s="288"/>
    </row>
    <row r="729" spans="1:9" ht="13.2">
      <c r="A729" s="415"/>
      <c r="B729" s="415"/>
      <c r="C729" s="299"/>
      <c r="D729" s="1581"/>
      <c r="E729" s="1581"/>
      <c r="F729" s="1581"/>
      <c r="G729" s="288"/>
    </row>
    <row r="730" spans="1:9" ht="13.2">
      <c r="A730" s="415"/>
      <c r="B730" s="415"/>
      <c r="C730" s="299"/>
      <c r="D730" s="1581"/>
      <c r="E730" s="1581"/>
      <c r="F730" s="1581"/>
      <c r="G730" s="288"/>
    </row>
    <row r="731" spans="1:9" ht="13.2">
      <c r="A731" s="415"/>
      <c r="B731" s="415"/>
      <c r="C731" s="299"/>
      <c r="D731" s="136"/>
      <c r="E731" s="282"/>
      <c r="F731" s="282"/>
      <c r="G731" s="288"/>
    </row>
    <row r="732" spans="1:9" ht="14.4" customHeight="1">
      <c r="A732" s="413"/>
      <c r="B732" s="950" t="s">
        <v>136</v>
      </c>
      <c r="C732" s="299"/>
      <c r="D732" s="1581" t="s">
        <v>1720</v>
      </c>
      <c r="E732" s="1581"/>
      <c r="F732" s="1581"/>
      <c r="G732" s="288"/>
    </row>
    <row r="733" spans="1:9" ht="13.2">
      <c r="A733" s="415"/>
      <c r="B733" s="415"/>
      <c r="C733" s="299"/>
      <c r="D733" s="1581"/>
      <c r="E733" s="1581"/>
      <c r="F733" s="1581"/>
      <c r="G733" s="288"/>
    </row>
    <row r="734" spans="1:9" ht="13.2">
      <c r="A734" s="415"/>
      <c r="B734" s="415"/>
      <c r="C734" s="299"/>
      <c r="D734" s="1581"/>
      <c r="E734" s="1581"/>
      <c r="F734" s="1581"/>
      <c r="G734" s="288"/>
    </row>
    <row r="735" spans="1:9" ht="13.2">
      <c r="A735" s="415"/>
      <c r="B735" s="415"/>
      <c r="C735" s="299"/>
      <c r="D735" s="332"/>
      <c r="E735" s="282"/>
      <c r="F735" s="282"/>
      <c r="G735" s="288"/>
      <c r="H735" s="404"/>
      <c r="I735" s="404"/>
    </row>
    <row r="736" spans="1:9" ht="14.4">
      <c r="A736" s="413"/>
      <c r="B736" s="950" t="s">
        <v>136</v>
      </c>
      <c r="C736" s="299"/>
      <c r="D736" s="1543" t="s">
        <v>1722</v>
      </c>
      <c r="E736" s="1543"/>
      <c r="F736" s="1543"/>
      <c r="G736" s="288"/>
    </row>
    <row r="737" spans="1:9" ht="13.2">
      <c r="A737" s="415"/>
      <c r="B737" s="415"/>
      <c r="C737" s="299"/>
      <c r="D737" s="1543"/>
      <c r="E737" s="1543"/>
      <c r="F737" s="1543"/>
      <c r="G737" s="288"/>
    </row>
    <row r="738" spans="1:9" ht="13.2">
      <c r="A738" s="415"/>
      <c r="B738" s="415"/>
      <c r="C738" s="299"/>
      <c r="D738" s="1543"/>
      <c r="E738" s="1543"/>
      <c r="F738" s="1543"/>
      <c r="G738" s="288"/>
    </row>
    <row r="739" spans="1:9" ht="13.2">
      <c r="A739" s="415"/>
      <c r="B739" s="415"/>
      <c r="C739" s="299"/>
      <c r="D739" s="1543"/>
      <c r="E739" s="1543"/>
      <c r="F739" s="1543"/>
      <c r="G739" s="288"/>
    </row>
    <row r="740" spans="1:9" ht="13.2">
      <c r="A740" s="415"/>
      <c r="B740" s="415"/>
      <c r="C740" s="299"/>
      <c r="D740" s="959"/>
      <c r="E740" s="959"/>
      <c r="F740" s="959"/>
      <c r="G740" s="288"/>
    </row>
    <row r="741" spans="1:9" s="50" customFormat="1" ht="14.4">
      <c r="A741" s="413"/>
      <c r="B741" s="950" t="s">
        <v>136</v>
      </c>
      <c r="C741" s="415"/>
      <c r="D741" s="1581" t="s">
        <v>1896</v>
      </c>
      <c r="E741" s="1581"/>
      <c r="F741" s="1581"/>
      <c r="G741" s="71"/>
      <c r="H741" s="886"/>
      <c r="I741" s="1086"/>
    </row>
    <row r="742" spans="1:9" s="50" customFormat="1" ht="13.2">
      <c r="A742" s="415"/>
      <c r="B742" s="415"/>
      <c r="C742" s="415"/>
      <c r="D742" s="1581"/>
      <c r="E742" s="1581"/>
      <c r="F742" s="1581"/>
      <c r="G742" s="71"/>
      <c r="H742" s="886"/>
      <c r="I742" s="1086"/>
    </row>
    <row r="743" spans="1:9" s="50" customFormat="1" ht="13.2">
      <c r="A743" s="415"/>
      <c r="B743" s="415"/>
      <c r="C743" s="415"/>
      <c r="D743" s="1581"/>
      <c r="E743" s="1581"/>
      <c r="F743" s="1581"/>
      <c r="G743" s="71"/>
      <c r="H743" s="886"/>
      <c r="I743" s="1086"/>
    </row>
    <row r="744" spans="1:9" s="50" customFormat="1" ht="13.2">
      <c r="A744" s="415"/>
      <c r="B744" s="415"/>
      <c r="C744" s="415"/>
      <c r="D744" s="1581"/>
      <c r="E744" s="1581"/>
      <c r="F744" s="1581"/>
      <c r="G744" s="71"/>
      <c r="H744" s="886"/>
      <c r="I744" s="1086"/>
    </row>
    <row r="745" spans="1:9" s="50" customFormat="1" ht="13.2">
      <c r="A745" s="415"/>
      <c r="B745" s="415"/>
      <c r="C745" s="415"/>
      <c r="D745" s="1581"/>
      <c r="E745" s="1581"/>
      <c r="F745" s="1581"/>
      <c r="G745" s="71"/>
      <c r="H745" s="886"/>
      <c r="I745" s="1086"/>
    </row>
    <row r="746" spans="1:9" s="50" customFormat="1" ht="13.2">
      <c r="A746" s="415"/>
      <c r="B746" s="415"/>
      <c r="C746" s="415"/>
      <c r="D746" s="1581"/>
      <c r="E746" s="1581"/>
      <c r="F746" s="1581"/>
      <c r="G746" s="71"/>
      <c r="H746" s="886"/>
      <c r="I746" s="1086"/>
    </row>
    <row r="747" spans="1:9" s="50" customFormat="1" ht="13.2">
      <c r="A747" s="415"/>
      <c r="B747" s="415"/>
      <c r="C747" s="415"/>
      <c r="D747" s="1581"/>
      <c r="E747" s="1581"/>
      <c r="F747" s="1581"/>
      <c r="G747" s="71"/>
      <c r="H747" s="886"/>
      <c r="I747" s="1086"/>
    </row>
    <row r="748" spans="1:9" s="50" customFormat="1" ht="13.2">
      <c r="A748" s="415"/>
      <c r="B748" s="415"/>
      <c r="C748" s="415"/>
      <c r="D748" s="1583" t="s">
        <v>1721</v>
      </c>
      <c r="E748" s="1583"/>
      <c r="F748" s="1583"/>
      <c r="G748" s="71"/>
      <c r="H748" s="886"/>
      <c r="I748" s="1086"/>
    </row>
    <row r="749" spans="1:9" s="50" customFormat="1" ht="13.2">
      <c r="A749" s="415"/>
      <c r="B749" s="415"/>
      <c r="C749" s="415"/>
      <c r="D749" s="891"/>
      <c r="E749" s="8"/>
      <c r="F749" s="8"/>
      <c r="G749" s="71"/>
      <c r="H749" s="886"/>
      <c r="I749" s="1086"/>
    </row>
    <row r="750" spans="1:9" ht="13.2">
      <c r="A750" s="1564" t="s">
        <v>1591</v>
      </c>
      <c r="B750" s="1564"/>
      <c r="C750" s="1564"/>
      <c r="D750" s="1564"/>
      <c r="E750" s="1564"/>
      <c r="F750" s="1564"/>
      <c r="G750" s="1564"/>
      <c r="H750" s="404"/>
      <c r="I750" s="404"/>
    </row>
    <row r="751" spans="1:9" ht="13.2">
      <c r="A751" s="415"/>
      <c r="B751" s="415"/>
      <c r="C751" s="299"/>
      <c r="D751" s="332"/>
      <c r="E751" s="282"/>
      <c r="F751" s="282"/>
      <c r="G751" s="288"/>
      <c r="H751" s="404"/>
      <c r="I751" s="404"/>
    </row>
    <row r="752" spans="1:9" ht="13.2">
      <c r="A752" s="140"/>
      <c r="B752" s="140"/>
      <c r="C752" s="299"/>
      <c r="D752" s="1571" t="s">
        <v>1622</v>
      </c>
      <c r="E752" s="1571"/>
      <c r="F752" s="1571"/>
      <c r="G752" s="288"/>
      <c r="H752" s="404"/>
      <c r="I752" s="404"/>
    </row>
    <row r="753" spans="1:9" ht="13.2">
      <c r="A753" s="414"/>
      <c r="B753" s="414"/>
      <c r="C753" s="298"/>
      <c r="D753" s="1562" t="s">
        <v>1625</v>
      </c>
      <c r="E753" s="1562"/>
      <c r="F753" s="1562"/>
      <c r="G753" s="288"/>
      <c r="H753" s="404"/>
      <c r="I753" s="404"/>
    </row>
    <row r="754" spans="1:9" ht="13.2">
      <c r="A754" s="415"/>
      <c r="B754" s="415"/>
      <c r="C754" s="299"/>
      <c r="D754" s="282"/>
      <c r="E754" s="282"/>
      <c r="F754" s="282"/>
      <c r="G754" s="288"/>
      <c r="H754" s="404"/>
      <c r="I754" s="404"/>
    </row>
    <row r="755" spans="1:9" ht="14.25" customHeight="1">
      <c r="A755" s="413"/>
      <c r="B755" s="950" t="s">
        <v>1533</v>
      </c>
      <c r="C755" s="14"/>
      <c r="D755" s="1543" t="s">
        <v>1623</v>
      </c>
      <c r="E755" s="1543"/>
      <c r="F755" s="1543"/>
      <c r="G755" s="288"/>
      <c r="H755" s="404"/>
      <c r="I755" s="404"/>
    </row>
    <row r="756" spans="1:9" ht="11.25" customHeight="1">
      <c r="A756" s="140"/>
      <c r="B756" s="140"/>
      <c r="C756" s="14"/>
      <c r="D756" s="1543"/>
      <c r="E756" s="1543"/>
      <c r="F756" s="1543"/>
      <c r="G756" s="288"/>
      <c r="H756" s="404"/>
      <c r="I756" s="404"/>
    </row>
    <row r="757" spans="1:9" ht="13.2">
      <c r="A757" s="140"/>
      <c r="B757" s="140"/>
      <c r="C757" s="14"/>
      <c r="D757" s="1543"/>
      <c r="E757" s="1543"/>
      <c r="F757" s="1543"/>
      <c r="G757" s="288"/>
      <c r="H757" s="404"/>
      <c r="I757" s="404"/>
    </row>
    <row r="758" spans="1:9" ht="13.2">
      <c r="A758" s="140"/>
      <c r="B758" s="140"/>
      <c r="C758" s="14"/>
      <c r="D758" s="1543"/>
      <c r="E758" s="1543"/>
      <c r="F758" s="1543"/>
      <c r="G758" s="288"/>
      <c r="H758" s="404"/>
      <c r="I758" s="404"/>
    </row>
    <row r="759" spans="1:9" ht="13.2">
      <c r="A759" s="150"/>
      <c r="B759" s="150"/>
      <c r="D759" s="1543"/>
      <c r="E759" s="1543"/>
      <c r="F759" s="1543"/>
      <c r="G759" s="288"/>
      <c r="H759" s="404"/>
      <c r="I759" s="404"/>
    </row>
    <row r="760" spans="1:9" ht="17.25" customHeight="1">
      <c r="A760" s="150"/>
      <c r="B760" s="150"/>
      <c r="D760" s="1543"/>
      <c r="E760" s="1543"/>
      <c r="F760" s="1543"/>
      <c r="G760" s="288"/>
      <c r="H760" s="404"/>
      <c r="I760" s="404"/>
    </row>
    <row r="761" spans="1:9" ht="13.2">
      <c r="A761" s="150"/>
      <c r="B761" s="150"/>
      <c r="D761" s="403"/>
      <c r="E761" s="403"/>
      <c r="F761" s="403"/>
      <c r="G761" s="288"/>
      <c r="H761" s="404"/>
      <c r="I761" s="404"/>
    </row>
    <row r="762" spans="1:9" ht="12.75" customHeight="1">
      <c r="A762" s="140"/>
      <c r="B762" s="950" t="s">
        <v>1533</v>
      </c>
      <c r="C762" s="14"/>
      <c r="D762" s="1576" t="s">
        <v>2128</v>
      </c>
      <c r="E762" s="1576"/>
      <c r="F762" s="1576"/>
      <c r="G762" s="288"/>
      <c r="H762" s="404"/>
      <c r="I762" s="404"/>
    </row>
    <row r="763" spans="1:9" ht="13.2">
      <c r="A763" s="140"/>
      <c r="B763" s="140"/>
      <c r="C763" s="14"/>
      <c r="D763" s="1576"/>
      <c r="E763" s="1576"/>
      <c r="F763" s="1576"/>
      <c r="G763" s="288"/>
      <c r="H763" s="404"/>
      <c r="I763" s="404"/>
    </row>
    <row r="764" spans="1:9" ht="13.2">
      <c r="A764" s="140"/>
      <c r="B764" s="140"/>
      <c r="C764" s="14"/>
      <c r="D764" s="1576"/>
      <c r="E764" s="1576"/>
      <c r="F764" s="1576"/>
      <c r="G764" s="288"/>
      <c r="H764" s="404"/>
      <c r="I764" s="404"/>
    </row>
    <row r="765" spans="1:9" ht="13.2">
      <c r="A765" s="140"/>
      <c r="B765" s="140"/>
      <c r="C765" s="14"/>
      <c r="D765" s="1576"/>
      <c r="E765" s="1576"/>
      <c r="F765" s="1576"/>
      <c r="G765" s="288"/>
      <c r="H765" s="404"/>
      <c r="I765" s="404"/>
    </row>
    <row r="766" spans="1:9" ht="13.2">
      <c r="A766" s="140"/>
      <c r="B766" s="140"/>
      <c r="C766" s="14"/>
      <c r="D766" s="403"/>
      <c r="G766" s="288"/>
      <c r="H766" s="404"/>
      <c r="I766" s="404"/>
    </row>
    <row r="767" spans="1:9" ht="13.2">
      <c r="A767" s="140"/>
      <c r="B767" s="950" t="s">
        <v>136</v>
      </c>
      <c r="C767" s="689"/>
      <c r="D767" s="1616" t="s">
        <v>2129</v>
      </c>
      <c r="E767" s="1545"/>
      <c r="F767" s="1545"/>
      <c r="G767" s="711"/>
      <c r="H767" s="404"/>
      <c r="I767" s="404"/>
    </row>
    <row r="768" spans="1:9" ht="13.2">
      <c r="A768" s="689"/>
      <c r="B768" s="689"/>
      <c r="C768" s="689"/>
      <c r="D768" s="1545"/>
      <c r="E768" s="1545"/>
      <c r="F768" s="1545"/>
      <c r="G768" s="711"/>
      <c r="H768" s="404"/>
      <c r="I768" s="404"/>
    </row>
    <row r="769" spans="1:9" ht="13.2">
      <c r="A769" s="689"/>
      <c r="B769" s="689"/>
      <c r="C769" s="689"/>
      <c r="D769" s="1545"/>
      <c r="E769" s="1545"/>
      <c r="F769" s="1545"/>
      <c r="G769" s="711"/>
      <c r="H769" s="404"/>
      <c r="I769" s="404"/>
    </row>
    <row r="770" spans="1:9" ht="13.2">
      <c r="A770" s="150"/>
      <c r="B770" s="150"/>
      <c r="D770" s="403"/>
      <c r="E770" s="403"/>
      <c r="F770" s="403"/>
      <c r="G770" s="288"/>
      <c r="H770" s="404"/>
      <c r="I770" s="404"/>
    </row>
    <row r="771" spans="1:9" ht="13.2">
      <c r="A771" s="150"/>
      <c r="B771" s="950" t="s">
        <v>136</v>
      </c>
      <c r="D771" s="1548" t="s">
        <v>1624</v>
      </c>
      <c r="E771" s="1548"/>
      <c r="F771" s="1548"/>
      <c r="G771" s="288"/>
      <c r="H771" s="404"/>
      <c r="I771" s="404"/>
    </row>
    <row r="772" spans="1:9" ht="13.2">
      <c r="A772" s="150"/>
      <c r="B772" s="150"/>
      <c r="D772" s="1548"/>
      <c r="E772" s="1548"/>
      <c r="F772" s="1548"/>
      <c r="G772" s="288"/>
      <c r="H772" s="404"/>
      <c r="I772" s="404"/>
    </row>
    <row r="773" spans="1:9" ht="13.2">
      <c r="A773" s="150"/>
      <c r="B773" s="150"/>
      <c r="D773" s="957"/>
      <c r="E773" s="957"/>
      <c r="F773" s="957"/>
      <c r="G773" s="288"/>
      <c r="H773" s="404"/>
      <c r="I773" s="404"/>
    </row>
    <row r="774" spans="1:9" ht="13.65" customHeight="1">
      <c r="A774" s="150"/>
      <c r="B774" s="950" t="s">
        <v>136</v>
      </c>
      <c r="D774" s="1551" t="s">
        <v>1985</v>
      </c>
      <c r="E774" s="1548"/>
      <c r="F774" s="1548"/>
      <c r="G774" s="288"/>
      <c r="H774" s="404"/>
      <c r="I774" s="404"/>
    </row>
    <row r="775" spans="1:9" ht="13.2">
      <c r="A775" s="150"/>
      <c r="B775" s="150"/>
      <c r="D775" s="1548"/>
      <c r="E775" s="1548"/>
      <c r="F775" s="1548"/>
      <c r="G775" s="288"/>
      <c r="H775" s="404"/>
      <c r="I775" s="404"/>
    </row>
    <row r="776" spans="1:9" ht="13.2">
      <c r="A776" s="150"/>
      <c r="B776" s="150"/>
      <c r="D776" s="1548"/>
      <c r="E776" s="1548"/>
      <c r="F776" s="1548"/>
      <c r="G776" s="288"/>
      <c r="H776" s="404"/>
      <c r="I776" s="404"/>
    </row>
    <row r="777" spans="1:9" ht="13.2">
      <c r="A777" s="150"/>
      <c r="B777" s="150"/>
      <c r="D777" s="957"/>
      <c r="E777" s="957"/>
      <c r="F777" s="957"/>
      <c r="G777" s="288"/>
      <c r="H777" s="404"/>
      <c r="I777" s="404"/>
    </row>
    <row r="778" spans="1:9" ht="12" customHeight="1">
      <c r="A778" s="1564" t="s">
        <v>1798</v>
      </c>
      <c r="B778" s="1564"/>
      <c r="C778" s="1564"/>
      <c r="D778" s="1564"/>
      <c r="E778" s="1564"/>
      <c r="F778" s="1564"/>
      <c r="G778" s="1564"/>
      <c r="H778" s="404"/>
      <c r="I778" s="404"/>
    </row>
    <row r="779" spans="1:9" ht="13.2">
      <c r="A779" s="107"/>
      <c r="B779" s="107"/>
      <c r="C779" s="302"/>
      <c r="D779" s="283"/>
      <c r="E779" s="283"/>
      <c r="F779" s="283"/>
      <c r="G779" s="288"/>
      <c r="H779" s="404"/>
      <c r="I779" s="404"/>
    </row>
    <row r="780" spans="1:9" ht="13.65" customHeight="1">
      <c r="A780" s="107"/>
      <c r="B780" s="107"/>
      <c r="C780" s="302"/>
      <c r="D780" s="1569" t="s">
        <v>1799</v>
      </c>
      <c r="E780" s="1569"/>
      <c r="F780" s="1569"/>
      <c r="G780" s="288"/>
      <c r="H780" s="404"/>
      <c r="I780" s="404"/>
    </row>
    <row r="781" spans="1:9" ht="13.2">
      <c r="A781" s="107"/>
      <c r="B781" s="107"/>
      <c r="C781" s="302"/>
      <c r="D781" s="1570" t="s">
        <v>1800</v>
      </c>
      <c r="E781" s="1570"/>
      <c r="F781" s="1570"/>
      <c r="G781" s="288"/>
      <c r="H781" s="404"/>
      <c r="I781" s="404"/>
    </row>
    <row r="782" spans="1:9" ht="13.2">
      <c r="A782" s="107"/>
      <c r="B782" s="107"/>
      <c r="C782" s="302"/>
      <c r="D782" s="996"/>
      <c r="E782" s="996"/>
      <c r="F782" s="996"/>
      <c r="G782" s="288"/>
      <c r="H782" s="404"/>
      <c r="I782" s="404"/>
    </row>
    <row r="783" spans="1:9" ht="13.2">
      <c r="A783" s="107"/>
      <c r="B783" s="950" t="s">
        <v>1533</v>
      </c>
      <c r="C783" s="302"/>
      <c r="D783" s="1579" t="s">
        <v>1801</v>
      </c>
      <c r="E783" s="1579"/>
      <c r="F783" s="1579"/>
      <c r="G783" s="288"/>
      <c r="H783" s="404"/>
      <c r="I783" s="404"/>
    </row>
    <row r="784" spans="1:9" ht="13.2">
      <c r="A784" s="107"/>
      <c r="B784" s="107"/>
      <c r="C784" s="302"/>
      <c r="D784" s="1579"/>
      <c r="E784" s="1579"/>
      <c r="F784" s="1579"/>
      <c r="G784" s="288"/>
      <c r="H784" s="404"/>
      <c r="I784" s="404"/>
    </row>
    <row r="785" spans="1:9" ht="13.2">
      <c r="A785" s="415"/>
      <c r="B785" s="415"/>
      <c r="C785" s="299"/>
      <c r="D785" s="1579"/>
      <c r="E785" s="1579"/>
      <c r="F785" s="1579"/>
      <c r="G785" s="284"/>
      <c r="H785" s="404"/>
      <c r="I785" s="404"/>
    </row>
    <row r="786" spans="1:9" ht="13.2">
      <c r="A786" s="150"/>
      <c r="B786" s="150"/>
      <c r="C786" s="285"/>
      <c r="D786" s="411"/>
      <c r="E786" s="288"/>
      <c r="F786" s="288"/>
      <c r="G786" s="288"/>
      <c r="H786" s="404"/>
      <c r="I786" s="404"/>
    </row>
    <row r="787" spans="1:9" ht="13.2">
      <c r="A787" s="418"/>
      <c r="B787" s="950" t="s">
        <v>136</v>
      </c>
      <c r="C787" s="303"/>
      <c r="D787" s="1579" t="s">
        <v>1802</v>
      </c>
      <c r="E787" s="1579"/>
      <c r="F787" s="1579"/>
      <c r="G787" s="288"/>
      <c r="H787" s="404"/>
      <c r="I787" s="404"/>
    </row>
    <row r="788" spans="1:9" ht="13.2">
      <c r="A788" s="741"/>
      <c r="B788" s="741"/>
      <c r="C788" s="742"/>
      <c r="D788" s="1579"/>
      <c r="E788" s="1579"/>
      <c r="F788" s="1579"/>
      <c r="G788" s="288"/>
      <c r="H788" s="404"/>
      <c r="I788" s="404"/>
    </row>
    <row r="789" spans="1:9" ht="13.2">
      <c r="A789" s="418"/>
      <c r="B789" s="418"/>
      <c r="C789" s="303"/>
      <c r="D789" s="1579"/>
      <c r="E789" s="1579"/>
      <c r="F789" s="1579"/>
      <c r="G789" s="288"/>
      <c r="H789" s="404"/>
      <c r="I789" s="404"/>
    </row>
    <row r="790" spans="1:9" ht="13.2">
      <c r="A790" s="415"/>
      <c r="B790" s="415"/>
      <c r="C790" s="299"/>
      <c r="D790" s="282"/>
      <c r="E790" s="296"/>
      <c r="F790" s="296"/>
      <c r="G790" s="572"/>
      <c r="H790" s="404"/>
      <c r="I790" s="404"/>
    </row>
    <row r="791" spans="1:9" ht="14.4" customHeight="1">
      <c r="A791" s="413"/>
      <c r="B791" s="950" t="s">
        <v>136</v>
      </c>
      <c r="C791" s="322"/>
      <c r="D791" s="1542" t="s">
        <v>1917</v>
      </c>
      <c r="E791" s="1542"/>
      <c r="F791" s="1542"/>
      <c r="G791" s="572"/>
      <c r="H791" s="404"/>
      <c r="I791" s="404"/>
    </row>
    <row r="792" spans="1:9" ht="14.4">
      <c r="A792" s="413"/>
      <c r="B792" s="413"/>
      <c r="C792" s="322"/>
      <c r="D792" s="1542"/>
      <c r="E792" s="1542"/>
      <c r="F792" s="1542"/>
      <c r="G792" s="572"/>
      <c r="H792" s="404"/>
      <c r="I792" s="404"/>
    </row>
    <row r="793" spans="1:9" ht="14.4">
      <c r="A793" s="413"/>
      <c r="B793" s="413"/>
      <c r="C793" s="322"/>
      <c r="D793" s="1542"/>
      <c r="E793" s="1542"/>
      <c r="F793" s="1542"/>
      <c r="G793" s="572"/>
      <c r="H793" s="404"/>
      <c r="I793" s="404"/>
    </row>
    <row r="794" spans="1:9" ht="14.4">
      <c r="A794" s="413"/>
      <c r="B794" s="413"/>
      <c r="C794" s="322"/>
      <c r="D794" s="1055"/>
      <c r="E794" s="282"/>
      <c r="F794" s="282"/>
      <c r="G794" s="572"/>
      <c r="H794" s="404"/>
      <c r="I794" s="404"/>
    </row>
    <row r="795" spans="1:9" ht="14.25" customHeight="1">
      <c r="A795" s="413"/>
      <c r="B795" s="950" t="s">
        <v>136</v>
      </c>
      <c r="C795" s="322"/>
      <c r="D795" s="1579" t="s">
        <v>1803</v>
      </c>
      <c r="E795" s="1579"/>
      <c r="F795" s="1579"/>
      <c r="G795" s="572"/>
      <c r="H795" s="404"/>
      <c r="I795" s="404"/>
    </row>
    <row r="796" spans="1:9" ht="14.4">
      <c r="A796" s="413"/>
      <c r="B796" s="413"/>
      <c r="C796" s="322"/>
      <c r="D796" s="1579"/>
      <c r="E796" s="1579"/>
      <c r="F796" s="1579"/>
      <c r="G796" s="572"/>
      <c r="H796" s="404"/>
      <c r="I796" s="404"/>
    </row>
    <row r="797" spans="1:9" ht="14.4">
      <c r="A797" s="413"/>
      <c r="B797" s="413"/>
      <c r="C797" s="322"/>
      <c r="D797" s="1579"/>
      <c r="E797" s="1579"/>
      <c r="F797" s="1579"/>
      <c r="G797" s="572"/>
      <c r="H797" s="404"/>
      <c r="I797" s="404"/>
    </row>
    <row r="798" spans="1:9" ht="14.4">
      <c r="A798" s="413"/>
      <c r="B798" s="413"/>
      <c r="C798" s="322"/>
      <c r="D798" s="1579"/>
      <c r="E798" s="1579"/>
      <c r="F798" s="1579"/>
      <c r="G798" s="572"/>
      <c r="H798" s="404"/>
      <c r="I798" s="404"/>
    </row>
    <row r="799" spans="1:9" ht="14.4">
      <c r="A799" s="413"/>
      <c r="B799" s="413"/>
      <c r="C799" s="322"/>
      <c r="D799" s="1579"/>
      <c r="E799" s="1579"/>
      <c r="F799" s="1579"/>
      <c r="G799" s="572"/>
      <c r="H799" s="404"/>
      <c r="I799" s="404"/>
    </row>
    <row r="800" spans="1:9" ht="14.4">
      <c r="A800" s="413"/>
      <c r="B800" s="413"/>
      <c r="C800" s="322"/>
      <c r="D800" s="1542" t="s">
        <v>2315</v>
      </c>
      <c r="E800" s="1542"/>
      <c r="F800" s="1542"/>
      <c r="G800" s="572"/>
      <c r="H800" s="404"/>
      <c r="I800" s="404"/>
    </row>
    <row r="801" spans="1:9" ht="14.4">
      <c r="A801" s="413"/>
      <c r="B801" s="413"/>
      <c r="C801" s="322"/>
      <c r="D801" s="1542"/>
      <c r="E801" s="1542"/>
      <c r="F801" s="1542"/>
      <c r="G801" s="572"/>
      <c r="H801" s="404"/>
      <c r="I801" s="404"/>
    </row>
    <row r="802" spans="1:9" ht="14.4">
      <c r="A802" s="413"/>
      <c r="B802" s="413"/>
      <c r="C802" s="322"/>
      <c r="D802" s="1542"/>
      <c r="E802" s="1542"/>
      <c r="F802" s="1542"/>
      <c r="G802" s="572"/>
      <c r="H802" s="404"/>
      <c r="I802" s="404"/>
    </row>
    <row r="803" spans="1:9" ht="14.4">
      <c r="A803" s="413"/>
      <c r="B803" s="14"/>
      <c r="C803" s="322"/>
      <c r="D803" s="1350"/>
      <c r="E803" s="1350"/>
      <c r="F803" s="1350"/>
      <c r="G803" s="572"/>
      <c r="H803" s="404"/>
      <c r="I803" s="404"/>
    </row>
    <row r="804" spans="1:9" ht="14.4">
      <c r="A804" s="413"/>
      <c r="B804" s="950" t="s">
        <v>136</v>
      </c>
      <c r="C804" s="322"/>
      <c r="D804" s="1579" t="s">
        <v>1805</v>
      </c>
      <c r="E804" s="1579"/>
      <c r="F804" s="1579"/>
      <c r="G804" s="572"/>
      <c r="H804" s="404"/>
      <c r="I804" s="404"/>
    </row>
    <row r="805" spans="1:9" ht="14.4">
      <c r="A805" s="413"/>
      <c r="B805" s="413"/>
      <c r="C805" s="322"/>
      <c r="D805" s="1579"/>
      <c r="E805" s="1579"/>
      <c r="F805" s="1579"/>
      <c r="G805" s="572"/>
      <c r="H805" s="404"/>
      <c r="I805" s="404"/>
    </row>
    <row r="806" spans="1:9" ht="14.4">
      <c r="A806" s="413"/>
      <c r="B806" s="413"/>
      <c r="C806" s="322"/>
      <c r="D806" s="1579"/>
      <c r="E806" s="1579"/>
      <c r="F806" s="1579"/>
      <c r="G806" s="572"/>
      <c r="H806" s="404"/>
      <c r="I806" s="404"/>
    </row>
    <row r="807" spans="1:9" ht="14.4">
      <c r="A807" s="413"/>
      <c r="B807" s="413"/>
      <c r="C807" s="322"/>
      <c r="D807" s="1579"/>
      <c r="E807" s="1579"/>
      <c r="F807" s="1579"/>
      <c r="G807" s="572"/>
      <c r="H807" s="404"/>
      <c r="I807" s="404"/>
    </row>
    <row r="808" spans="1:9" ht="14.4">
      <c r="A808" s="413"/>
      <c r="B808" s="413"/>
      <c r="C808" s="322"/>
      <c r="D808" s="1579"/>
      <c r="E808" s="1579"/>
      <c r="F808" s="1579"/>
      <c r="G808" s="572"/>
      <c r="H808" s="404"/>
      <c r="I808" s="404"/>
    </row>
    <row r="809" spans="1:9" ht="14.4">
      <c r="A809" s="413"/>
      <c r="B809" s="413"/>
      <c r="C809" s="322"/>
      <c r="D809" s="1579"/>
      <c r="E809" s="1579"/>
      <c r="F809" s="1579"/>
      <c r="G809" s="572"/>
      <c r="H809" s="404"/>
      <c r="I809" s="404"/>
    </row>
    <row r="810" spans="1:9" ht="14.4">
      <c r="A810" s="413"/>
      <c r="B810" s="413"/>
      <c r="C810" s="322"/>
      <c r="D810" s="1338"/>
      <c r="E810" s="1338"/>
      <c r="F810" s="1338"/>
      <c r="G810" s="572"/>
      <c r="H810" s="404"/>
      <c r="I810" s="404"/>
    </row>
    <row r="811" spans="1:9" ht="14.4">
      <c r="A811" s="413"/>
      <c r="B811" s="1339" t="s">
        <v>1533</v>
      </c>
      <c r="C811" s="322"/>
      <c r="D811" s="1542" t="s">
        <v>2130</v>
      </c>
      <c r="E811" s="1579"/>
      <c r="F811" s="1579"/>
      <c r="G811" s="572"/>
      <c r="H811" s="404"/>
      <c r="I811" s="404"/>
    </row>
    <row r="812" spans="1:9" ht="14.4">
      <c r="A812" s="413"/>
      <c r="B812" s="413"/>
      <c r="C812" s="322"/>
      <c r="D812" s="1579"/>
      <c r="E812" s="1579"/>
      <c r="F812" s="1579"/>
      <c r="G812" s="572"/>
      <c r="H812" s="404"/>
      <c r="I812" s="404"/>
    </row>
    <row r="813" spans="1:9" ht="14.4">
      <c r="A813" s="413"/>
      <c r="B813" s="413"/>
      <c r="C813" s="322"/>
      <c r="D813" s="1579"/>
      <c r="E813" s="1579"/>
      <c r="F813" s="1579"/>
      <c r="G813" s="572"/>
      <c r="H813" s="404"/>
      <c r="I813" s="404"/>
    </row>
    <row r="814" spans="1:9" ht="14.4">
      <c r="A814" s="413"/>
      <c r="B814" s="413"/>
      <c r="C814" s="322"/>
      <c r="D814" s="1579"/>
      <c r="E814" s="1579"/>
      <c r="F814" s="1579"/>
      <c r="G814" s="572"/>
      <c r="H814" s="404"/>
      <c r="I814" s="404"/>
    </row>
    <row r="815" spans="1:9" ht="14.4">
      <c r="A815" s="413"/>
      <c r="B815" s="413"/>
      <c r="C815" s="322"/>
      <c r="D815" s="1579"/>
      <c r="E815" s="1579"/>
      <c r="F815" s="1579"/>
      <c r="G815" s="572"/>
      <c r="H815" s="404"/>
      <c r="I815" s="404"/>
    </row>
    <row r="816" spans="1:9" ht="14.4">
      <c r="A816" s="413"/>
      <c r="B816" s="413"/>
      <c r="C816" s="322"/>
      <c r="D816" s="1057"/>
      <c r="E816" s="1057"/>
      <c r="F816" s="1057"/>
      <c r="G816" s="572"/>
      <c r="H816" s="404"/>
      <c r="I816" s="404"/>
    </row>
    <row r="817" spans="1:9" ht="14.4">
      <c r="A817" s="413"/>
      <c r="B817" s="950" t="s">
        <v>136</v>
      </c>
      <c r="C817" s="322"/>
      <c r="D817" s="1579" t="s">
        <v>1804</v>
      </c>
      <c r="E817" s="1579"/>
      <c r="F817" s="1579"/>
      <c r="G817" s="572"/>
      <c r="H817" s="404"/>
      <c r="I817" s="404"/>
    </row>
    <row r="818" spans="1:9" ht="14.4">
      <c r="A818" s="413"/>
      <c r="B818" s="413"/>
      <c r="C818" s="322"/>
      <c r="D818" s="1579"/>
      <c r="E818" s="1579"/>
      <c r="F818" s="1579"/>
      <c r="G818" s="572"/>
      <c r="H818" s="404"/>
      <c r="I818" s="404"/>
    </row>
    <row r="819" spans="1:9" ht="14.4">
      <c r="A819" s="413"/>
      <c r="B819" s="413"/>
      <c r="C819" s="322"/>
      <c r="D819" s="1579"/>
      <c r="E819" s="1579"/>
      <c r="F819" s="1579"/>
      <c r="G819" s="572"/>
      <c r="H819" s="404"/>
      <c r="I819" s="404"/>
    </row>
    <row r="820" spans="1:9" ht="14.4">
      <c r="A820" s="413"/>
      <c r="B820" s="413"/>
      <c r="C820" s="322"/>
      <c r="D820" s="1579"/>
      <c r="E820" s="1579"/>
      <c r="F820" s="1579"/>
      <c r="G820" s="572"/>
      <c r="H820" s="404"/>
      <c r="I820" s="404"/>
    </row>
    <row r="821" spans="1:9" ht="14.4">
      <c r="A821" s="413"/>
      <c r="B821" s="413"/>
      <c r="C821" s="322"/>
      <c r="D821" s="296"/>
      <c r="E821" s="282"/>
      <c r="F821" s="282"/>
      <c r="G821" s="572"/>
      <c r="H821" s="404"/>
      <c r="I821" s="404"/>
    </row>
    <row r="822" spans="1:9" ht="14.4">
      <c r="A822" s="413"/>
      <c r="B822" s="950" t="s">
        <v>136</v>
      </c>
      <c r="C822" s="322"/>
      <c r="D822" s="1557" t="s">
        <v>1807</v>
      </c>
      <c r="E822" s="1557"/>
      <c r="F822" s="1557"/>
      <c r="G822" s="572"/>
      <c r="H822" s="404"/>
      <c r="I822" s="404"/>
    </row>
    <row r="823" spans="1:9" ht="14.4">
      <c r="A823" s="413"/>
      <c r="B823" s="413"/>
      <c r="C823" s="322"/>
      <c r="D823" s="1557"/>
      <c r="E823" s="1557"/>
      <c r="F823" s="1557"/>
      <c r="G823" s="572"/>
      <c r="H823" s="404"/>
      <c r="I823" s="404"/>
    </row>
    <row r="824" spans="1:9" ht="13.2">
      <c r="A824" s="33"/>
      <c r="B824" s="33"/>
      <c r="C824" s="322"/>
      <c r="D824" s="1557"/>
      <c r="E824" s="1557"/>
      <c r="F824" s="1557"/>
      <c r="G824" s="572"/>
      <c r="H824" s="404"/>
      <c r="I824" s="404"/>
    </row>
    <row r="825" spans="1:9" ht="14.4">
      <c r="A825" s="413"/>
      <c r="B825" s="997"/>
      <c r="C825" s="322"/>
      <c r="D825" s="1557"/>
      <c r="E825" s="1557"/>
      <c r="F825" s="1557"/>
      <c r="G825" s="572"/>
      <c r="H825" s="404"/>
      <c r="I825" s="404"/>
    </row>
    <row r="826" spans="1:9" ht="14.4">
      <c r="A826" s="413"/>
      <c r="B826" s="997"/>
      <c r="C826" s="322"/>
      <c r="D826" s="1557"/>
      <c r="E826" s="1557"/>
      <c r="F826" s="1557"/>
      <c r="G826" s="572"/>
      <c r="H826" s="404"/>
      <c r="I826" s="404"/>
    </row>
    <row r="827" spans="1:9" ht="14.4">
      <c r="A827" s="413"/>
      <c r="B827" s="997"/>
      <c r="C827" s="322"/>
      <c r="D827" s="1557"/>
      <c r="E827" s="1557"/>
      <c r="F827" s="1557"/>
      <c r="G827" s="572"/>
      <c r="H827" s="404"/>
      <c r="I827" s="404"/>
    </row>
    <row r="828" spans="1:9" ht="14.4">
      <c r="A828" s="413"/>
      <c r="B828" s="1058"/>
      <c r="C828" s="322"/>
      <c r="D828" s="1056"/>
      <c r="E828" s="1056"/>
      <c r="F828" s="1056"/>
      <c r="G828" s="572"/>
      <c r="H828" s="404"/>
      <c r="I828" s="404"/>
    </row>
    <row r="829" spans="1:9" ht="14.4">
      <c r="A829" s="413"/>
      <c r="B829" s="950" t="s">
        <v>136</v>
      </c>
      <c r="C829" s="322"/>
      <c r="D829" s="1579" t="s">
        <v>1806</v>
      </c>
      <c r="E829" s="1579"/>
      <c r="F829" s="1579"/>
      <c r="G829" s="572"/>
      <c r="H829" s="404"/>
      <c r="I829" s="404"/>
    </row>
    <row r="830" spans="1:9" ht="14.4">
      <c r="A830" s="413"/>
      <c r="B830" s="413"/>
      <c r="C830" s="322"/>
      <c r="D830" s="1579"/>
      <c r="E830" s="1579"/>
      <c r="F830" s="1579"/>
      <c r="G830" s="572"/>
      <c r="H830" s="404"/>
      <c r="I830" s="404"/>
    </row>
    <row r="831" spans="1:9" ht="14.4">
      <c r="A831" s="413"/>
      <c r="B831" s="413"/>
      <c r="C831" s="322"/>
      <c r="D831" s="296"/>
      <c r="E831" s="282"/>
      <c r="F831" s="282"/>
      <c r="G831" s="572"/>
      <c r="H831" s="404"/>
      <c r="I831" s="404"/>
    </row>
    <row r="832" spans="1:9" ht="14.4">
      <c r="A832" s="413"/>
      <c r="B832" s="950" t="s">
        <v>136</v>
      </c>
      <c r="C832" s="322"/>
      <c r="D832" s="1557" t="s">
        <v>1808</v>
      </c>
      <c r="E832" s="1557"/>
      <c r="F832" s="1557"/>
      <c r="G832" s="572"/>
      <c r="H832" s="404"/>
      <c r="I832" s="404"/>
    </row>
    <row r="833" spans="1:9" ht="14.4">
      <c r="A833" s="413"/>
      <c r="B833" s="413"/>
      <c r="C833" s="322"/>
      <c r="D833" s="1557"/>
      <c r="E833" s="1557"/>
      <c r="F833" s="1557"/>
      <c r="G833" s="572"/>
      <c r="H833" s="404"/>
      <c r="I833" s="404"/>
    </row>
    <row r="834" spans="1:9" ht="13.2">
      <c r="A834" s="33"/>
      <c r="B834" s="33"/>
      <c r="C834" s="322"/>
      <c r="D834" s="296"/>
      <c r="E834" s="282"/>
      <c r="F834" s="282"/>
      <c r="G834" s="572"/>
      <c r="H834" s="404"/>
      <c r="I834" s="404"/>
    </row>
    <row r="835" spans="1:9" ht="13.2">
      <c r="A835" s="1595" t="s">
        <v>2151</v>
      </c>
      <c r="B835" s="1595"/>
      <c r="C835" s="1595"/>
      <c r="D835" s="1595"/>
      <c r="E835" s="1595"/>
      <c r="F835" s="1595"/>
      <c r="G835" s="1595"/>
      <c r="H835" s="404"/>
      <c r="I835" s="404"/>
    </row>
    <row r="836" spans="1:9" ht="13.2">
      <c r="A836" s="414"/>
      <c r="B836" s="414"/>
      <c r="C836" s="322"/>
      <c r="D836" s="296"/>
      <c r="E836" s="296"/>
      <c r="F836" s="296"/>
      <c r="G836" s="572"/>
      <c r="H836" s="404"/>
      <c r="I836" s="404"/>
    </row>
    <row r="837" spans="1:9" ht="14.4">
      <c r="A837" s="413"/>
      <c r="B837" s="413"/>
      <c r="C837" s="14"/>
      <c r="D837" s="1571" t="s">
        <v>1702</v>
      </c>
      <c r="E837" s="1571"/>
      <c r="F837" s="1571"/>
      <c r="H837" s="404"/>
      <c r="I837" s="404"/>
    </row>
    <row r="838" spans="1:9" ht="14.4">
      <c r="A838" s="413"/>
      <c r="B838" s="413"/>
      <c r="C838" s="14"/>
      <c r="D838" s="1550" t="s">
        <v>2148</v>
      </c>
      <c r="E838" s="1550"/>
      <c r="F838" s="1550"/>
      <c r="H838" s="404"/>
      <c r="I838" s="404"/>
    </row>
    <row r="839" spans="1:9" ht="14.4">
      <c r="A839" s="413"/>
      <c r="B839" s="413"/>
      <c r="C839" s="14"/>
      <c r="D839" s="1353"/>
      <c r="E839" s="1355"/>
      <c r="F839" s="1355"/>
      <c r="H839" s="404"/>
      <c r="I839" s="404"/>
    </row>
    <row r="840" spans="1:9" ht="13.2">
      <c r="A840" s="140"/>
      <c r="B840" s="950" t="s">
        <v>1533</v>
      </c>
      <c r="C840" s="322"/>
      <c r="D840" s="1543" t="s">
        <v>1628</v>
      </c>
      <c r="E840" s="1543"/>
      <c r="F840" s="1543"/>
      <c r="H840" s="404"/>
      <c r="I840" s="404"/>
    </row>
    <row r="841" spans="1:9" ht="13.2">
      <c r="A841" s="33"/>
      <c r="B841" s="33"/>
      <c r="C841" s="322"/>
      <c r="D841" s="6" t="s">
        <v>1596</v>
      </c>
      <c r="E841" s="1572" t="s">
        <v>1629</v>
      </c>
      <c r="F841" s="1572"/>
      <c r="H841" s="404"/>
      <c r="I841" s="404"/>
    </row>
    <row r="842" spans="1:9" ht="13.2">
      <c r="A842" s="33"/>
      <c r="B842" s="33"/>
      <c r="C842" s="322"/>
      <c r="D842" s="333"/>
      <c r="E842" s="282"/>
      <c r="F842" s="282"/>
      <c r="H842" s="404"/>
      <c r="I842" s="404"/>
    </row>
    <row r="843" spans="1:9" ht="13.2">
      <c r="A843" s="1034"/>
      <c r="B843" s="1033" t="s">
        <v>136</v>
      </c>
      <c r="C843" s="322"/>
      <c r="D843" s="1585" t="s">
        <v>1893</v>
      </c>
      <c r="E843" s="1585"/>
      <c r="F843" s="1585"/>
      <c r="H843" s="404"/>
      <c r="I843" s="404"/>
    </row>
    <row r="844" spans="1:9" ht="13.2">
      <c r="A844" s="1034"/>
      <c r="B844" s="1034"/>
      <c r="C844" s="322"/>
      <c r="D844" s="1585"/>
      <c r="E844" s="1585"/>
      <c r="F844" s="1585"/>
      <c r="H844" s="404"/>
      <c r="I844" s="404"/>
    </row>
    <row r="845" spans="1:9" ht="13.2">
      <c r="A845" s="1034"/>
      <c r="B845" s="1034"/>
      <c r="C845" s="322"/>
      <c r="D845" s="1585"/>
      <c r="E845" s="1585"/>
      <c r="F845" s="1585"/>
      <c r="H845" s="404"/>
      <c r="I845" s="404"/>
    </row>
    <row r="846" spans="1:9" ht="13.2">
      <c r="A846" s="1034"/>
      <c r="B846" s="1034"/>
      <c r="C846" s="322"/>
      <c r="D846" s="1585"/>
      <c r="E846" s="1585"/>
      <c r="F846" s="1585"/>
      <c r="H846" s="404"/>
      <c r="I846" s="404"/>
    </row>
    <row r="847" spans="1:9" ht="13.2">
      <c r="A847" s="1034"/>
      <c r="B847" s="1034"/>
      <c r="C847" s="322"/>
      <c r="D847" s="1585"/>
      <c r="E847" s="1585"/>
      <c r="F847" s="1585"/>
      <c r="H847" s="404"/>
      <c r="I847" s="404"/>
    </row>
    <row r="848" spans="1:9" ht="13.2">
      <c r="A848" s="1034"/>
      <c r="B848" s="1034"/>
      <c r="C848" s="322"/>
      <c r="D848" s="1585"/>
      <c r="E848" s="1585"/>
      <c r="F848" s="1585"/>
      <c r="H848" s="404"/>
      <c r="I848" s="404"/>
    </row>
    <row r="849" spans="1:9" ht="13.2">
      <c r="A849" s="1034"/>
      <c r="B849" s="1034"/>
      <c r="C849" s="322"/>
      <c r="D849" s="1585"/>
      <c r="E849" s="1585"/>
      <c r="F849" s="1585"/>
      <c r="H849" s="404"/>
      <c r="I849" s="404"/>
    </row>
    <row r="850" spans="1:9" ht="13.2">
      <c r="A850" s="1034"/>
      <c r="B850" s="1034"/>
      <c r="C850" s="322"/>
      <c r="D850" s="1585"/>
      <c r="E850" s="1585"/>
      <c r="F850" s="1585"/>
      <c r="H850" s="404"/>
      <c r="I850" s="404"/>
    </row>
    <row r="851" spans="1:9" ht="13.2">
      <c r="A851" s="1034"/>
      <c r="B851" s="1034"/>
      <c r="C851" s="322"/>
      <c r="D851" s="1585"/>
      <c r="E851" s="1585"/>
      <c r="F851" s="1585"/>
      <c r="H851" s="404"/>
      <c r="I851" s="404"/>
    </row>
    <row r="852" spans="1:9" ht="13.2">
      <c r="A852" s="1034"/>
      <c r="B852" s="1034"/>
      <c r="C852" s="322"/>
      <c r="D852" s="333"/>
      <c r="E852" s="282"/>
      <c r="F852" s="282"/>
      <c r="H852" s="404"/>
      <c r="I852" s="404"/>
    </row>
    <row r="853" spans="1:9" ht="14.4">
      <c r="A853" s="413"/>
      <c r="B853" s="950" t="s">
        <v>1533</v>
      </c>
      <c r="C853" s="322"/>
      <c r="D853" s="1543" t="s">
        <v>1630</v>
      </c>
      <c r="E853" s="1543"/>
      <c r="F853" s="1543"/>
      <c r="H853" s="404"/>
      <c r="I853" s="404"/>
    </row>
    <row r="854" spans="1:9" ht="14.4">
      <c r="A854" s="413"/>
      <c r="B854" s="413"/>
      <c r="C854" s="322"/>
      <c r="D854" s="1543"/>
      <c r="E854" s="1543"/>
      <c r="F854" s="1543"/>
      <c r="H854" s="404"/>
      <c r="I854" s="404"/>
    </row>
    <row r="855" spans="1:9" ht="14.4">
      <c r="A855" s="413"/>
      <c r="B855" s="413"/>
      <c r="C855" s="322"/>
      <c r="D855" s="1543"/>
      <c r="E855" s="1543"/>
      <c r="F855" s="1543"/>
      <c r="H855" s="404"/>
      <c r="I855" s="404"/>
    </row>
    <row r="856" spans="1:9" ht="14.4">
      <c r="A856" s="570"/>
      <c r="B856" s="570"/>
      <c r="C856" s="405"/>
      <c r="D856" s="403"/>
      <c r="H856" s="404"/>
      <c r="I856" s="404"/>
    </row>
    <row r="857" spans="1:9" ht="13.2">
      <c r="A857" s="706"/>
      <c r="B857" s="950" t="s">
        <v>136</v>
      </c>
      <c r="C857" s="405"/>
      <c r="D857" s="1565" t="s">
        <v>1631</v>
      </c>
      <c r="E857" s="1565"/>
      <c r="F857" s="1565"/>
      <c r="H857" s="404"/>
      <c r="I857" s="404"/>
    </row>
    <row r="858" spans="1:9" ht="13.2">
      <c r="A858" s="14"/>
      <c r="B858" s="706"/>
      <c r="C858" s="405"/>
      <c r="D858" s="1565"/>
      <c r="E858" s="1565"/>
      <c r="F858" s="1565"/>
      <c r="H858" s="404"/>
      <c r="I858" s="404"/>
    </row>
    <row r="859" spans="1:9" ht="14.25" customHeight="1">
      <c r="A859" s="570"/>
      <c r="B859" s="14"/>
      <c r="C859" s="405"/>
      <c r="D859" s="1548" t="s">
        <v>1657</v>
      </c>
      <c r="E859" s="1548"/>
      <c r="F859" s="1548"/>
      <c r="H859" s="404"/>
      <c r="I859" s="404"/>
    </row>
    <row r="860" spans="1:9" ht="14.4">
      <c r="A860" s="570"/>
      <c r="B860" s="570"/>
      <c r="C860" s="405"/>
      <c r="D860" s="1548"/>
      <c r="E860" s="1548"/>
      <c r="F860" s="1548"/>
      <c r="H860" s="404"/>
      <c r="I860" s="404"/>
    </row>
    <row r="861" spans="1:9" ht="14.4">
      <c r="A861" s="570"/>
      <c r="B861" s="570"/>
      <c r="C861" s="405"/>
      <c r="D861" s="1548"/>
      <c r="E861" s="1548"/>
      <c r="F861" s="1548"/>
      <c r="H861" s="404"/>
      <c r="I861" s="404"/>
    </row>
    <row r="862" spans="1:9" ht="14.4">
      <c r="A862" s="570"/>
      <c r="B862" s="570"/>
      <c r="C862" s="405"/>
      <c r="D862" s="1548"/>
      <c r="E862" s="1548"/>
      <c r="F862" s="1548"/>
      <c r="H862" s="404"/>
      <c r="I862" s="404"/>
    </row>
    <row r="863" spans="1:9" ht="14.4">
      <c r="A863" s="570"/>
      <c r="B863" s="570"/>
      <c r="C863" s="405"/>
      <c r="D863" s="1548"/>
      <c r="E863" s="1548"/>
      <c r="F863" s="1548"/>
      <c r="H863" s="404"/>
      <c r="I863" s="404"/>
    </row>
    <row r="864" spans="1:9" ht="14.25" customHeight="1">
      <c r="A864" s="570"/>
      <c r="B864" s="570"/>
      <c r="C864" s="405"/>
      <c r="D864" s="1548"/>
      <c r="E864" s="1548"/>
      <c r="F864" s="1548"/>
      <c r="H864" s="404"/>
      <c r="I864" s="404"/>
    </row>
    <row r="865" spans="1:9" ht="14.4">
      <c r="A865" s="570"/>
      <c r="B865" s="570"/>
      <c r="C865" s="405"/>
      <c r="D865" s="403"/>
      <c r="H865" s="404"/>
      <c r="I865" s="404"/>
    </row>
    <row r="866" spans="1:9" ht="14.4">
      <c r="A866" s="570"/>
      <c r="B866" s="950" t="s">
        <v>136</v>
      </c>
      <c r="C866" s="405"/>
      <c r="D866" s="1548" t="s">
        <v>1302</v>
      </c>
      <c r="E866" s="1548"/>
      <c r="F866" s="1548"/>
      <c r="H866" s="404"/>
      <c r="I866" s="404"/>
    </row>
    <row r="867" spans="1:9" ht="14.4">
      <c r="A867" s="570"/>
      <c r="B867" s="570"/>
      <c r="C867" s="405"/>
      <c r="D867" s="1548" t="s">
        <v>1303</v>
      </c>
      <c r="E867" s="1548"/>
      <c r="F867" s="1548"/>
      <c r="H867" s="404"/>
      <c r="I867" s="404"/>
    </row>
    <row r="868" spans="1:9" ht="14.4">
      <c r="A868" s="570"/>
      <c r="B868" s="570"/>
      <c r="C868" s="405"/>
      <c r="D868" s="330" t="s">
        <v>1595</v>
      </c>
      <c r="E868" s="1559" t="s">
        <v>1632</v>
      </c>
      <c r="F868" s="1559"/>
      <c r="H868" s="404"/>
      <c r="I868" s="404"/>
    </row>
    <row r="869" spans="1:9" ht="14.4">
      <c r="A869" s="570"/>
      <c r="B869" s="570"/>
      <c r="C869" s="405"/>
      <c r="D869" s="403"/>
      <c r="H869" s="404"/>
      <c r="I869" s="404"/>
    </row>
    <row r="870" spans="1:9" ht="14.4">
      <c r="A870" s="570"/>
      <c r="B870" s="950" t="s">
        <v>136</v>
      </c>
      <c r="C870" s="405"/>
      <c r="D870" s="1548" t="s">
        <v>1633</v>
      </c>
      <c r="E870" s="1548"/>
      <c r="F870" s="1548"/>
      <c r="H870" s="404"/>
      <c r="I870" s="404"/>
    </row>
    <row r="871" spans="1:9" ht="14.4">
      <c r="A871" s="570"/>
      <c r="B871" s="570"/>
      <c r="C871" s="405"/>
      <c r="D871" s="1548"/>
      <c r="E871" s="1548"/>
      <c r="F871" s="1548"/>
      <c r="H871" s="404"/>
      <c r="I871" s="404"/>
    </row>
    <row r="872" spans="1:9" ht="14.4">
      <c r="A872" s="570"/>
      <c r="B872" s="570"/>
      <c r="C872" s="405"/>
      <c r="D872" s="1548"/>
      <c r="E872" s="1548"/>
      <c r="F872" s="1548"/>
      <c r="H872" s="404"/>
      <c r="I872" s="404"/>
    </row>
    <row r="873" spans="1:9" ht="14.4">
      <c r="A873" s="570"/>
      <c r="B873" s="570"/>
      <c r="C873" s="405"/>
      <c r="D873" s="1548"/>
      <c r="E873" s="1548"/>
      <c r="F873" s="1548"/>
      <c r="H873" s="404"/>
      <c r="I873" s="404"/>
    </row>
    <row r="874" spans="1:9" ht="13.2">
      <c r="A874" s="414"/>
      <c r="B874" s="414"/>
      <c r="C874" s="298"/>
      <c r="D874" s="287"/>
      <c r="E874" s="282"/>
      <c r="F874" s="282"/>
      <c r="H874" s="404"/>
      <c r="I874" s="404"/>
    </row>
    <row r="875" spans="1:9" ht="13.2">
      <c r="A875" s="416" t="s">
        <v>1560</v>
      </c>
      <c r="B875" s="416"/>
      <c r="C875" s="952"/>
      <c r="D875" s="952"/>
      <c r="E875" s="952"/>
      <c r="F875" s="952"/>
      <c r="G875" s="953"/>
      <c r="H875" s="404"/>
      <c r="I875" s="404"/>
    </row>
    <row r="876" spans="1:9" ht="13.2">
      <c r="A876" s="414"/>
      <c r="B876" s="414"/>
      <c r="C876" s="298"/>
      <c r="D876" s="332"/>
      <c r="E876" s="282"/>
      <c r="F876" s="282"/>
      <c r="H876" s="404"/>
      <c r="I876" s="404"/>
    </row>
    <row r="877" spans="1:9" ht="13.2">
      <c r="A877" s="140"/>
      <c r="B877" s="140"/>
      <c r="C877" s="299"/>
      <c r="D877" s="1547" t="s">
        <v>1701</v>
      </c>
      <c r="E877" s="1547"/>
      <c r="F877" s="1547"/>
      <c r="G877" s="572"/>
      <c r="H877" s="404"/>
      <c r="I877" s="404"/>
    </row>
    <row r="878" spans="1:9" ht="13.2">
      <c r="A878" s="1022"/>
      <c r="B878" s="1022"/>
      <c r="C878" s="299"/>
      <c r="D878" s="1567" t="s">
        <v>2149</v>
      </c>
      <c r="E878" s="1568"/>
      <c r="F878" s="1568"/>
      <c r="G878" s="572"/>
      <c r="H878" s="404"/>
      <c r="I878" s="404"/>
    </row>
    <row r="879" spans="1:9" ht="13.2">
      <c r="A879" s="1022"/>
      <c r="B879" s="1022"/>
      <c r="C879" s="299"/>
      <c r="D879" s="1015"/>
      <c r="E879" s="1015"/>
      <c r="F879" s="1015"/>
      <c r="G879" s="572"/>
      <c r="H879" s="404"/>
      <c r="I879" s="404"/>
    </row>
    <row r="880" spans="1:9" ht="14.4">
      <c r="A880" s="413"/>
      <c r="B880" s="950" t="s">
        <v>1533</v>
      </c>
      <c r="C880" s="14"/>
      <c r="D880" s="1544" t="s">
        <v>1656</v>
      </c>
      <c r="E880" s="1544"/>
      <c r="F880" s="1544"/>
      <c r="G880" s="572"/>
      <c r="H880" s="404"/>
      <c r="I880" s="404"/>
    </row>
    <row r="881" spans="1:9" ht="13.2">
      <c r="A881" s="140"/>
      <c r="B881" s="140"/>
      <c r="C881" s="14"/>
      <c r="D881" s="6" t="s">
        <v>1595</v>
      </c>
      <c r="E881" s="1566" t="s">
        <v>1632</v>
      </c>
      <c r="F881" s="1566"/>
      <c r="G881" s="572"/>
    </row>
    <row r="882" spans="1:9" ht="13.2">
      <c r="A882" s="140"/>
      <c r="B882" s="140"/>
      <c r="C882" s="14"/>
      <c r="D882" s="287"/>
      <c r="E882" s="296"/>
      <c r="F882" s="296"/>
      <c r="G882" s="572"/>
      <c r="H882" s="404"/>
      <c r="I882" s="404"/>
    </row>
    <row r="883" spans="1:9" ht="14.4">
      <c r="A883" s="413"/>
      <c r="B883" s="950" t="s">
        <v>1533</v>
      </c>
      <c r="C883" s="14"/>
      <c r="D883" s="1550" t="s">
        <v>2152</v>
      </c>
      <c r="E883" s="1619"/>
      <c r="F883" s="1619"/>
    </row>
    <row r="884" spans="1:9" ht="12.6" customHeight="1">
      <c r="A884" s="140"/>
      <c r="B884" s="140"/>
      <c r="C884" s="14"/>
      <c r="D884" s="1619"/>
      <c r="E884" s="1619"/>
      <c r="F884" s="1619"/>
    </row>
    <row r="885" spans="1:9" ht="14.4">
      <c r="A885" s="413"/>
      <c r="B885" s="413"/>
      <c r="C885" s="14"/>
      <c r="D885" s="287"/>
      <c r="E885" s="296"/>
      <c r="F885" s="296"/>
      <c r="G885" s="572"/>
      <c r="H885" s="404"/>
      <c r="I885" s="404"/>
    </row>
    <row r="886" spans="1:9" ht="13.2">
      <c r="A886" s="14"/>
      <c r="B886" s="950" t="s">
        <v>136</v>
      </c>
      <c r="D886" s="1561" t="s">
        <v>1897</v>
      </c>
      <c r="E886" s="1561"/>
      <c r="F886" s="1561"/>
      <c r="G886" s="572"/>
      <c r="H886" s="404"/>
      <c r="I886" s="404"/>
    </row>
    <row r="887" spans="1:9" ht="29.4" customHeight="1">
      <c r="A887" s="14"/>
      <c r="B887" s="898"/>
      <c r="D887" s="1561"/>
      <c r="E887" s="1561"/>
      <c r="F887" s="1561"/>
      <c r="G887" s="572"/>
      <c r="H887" s="404"/>
      <c r="I887" s="404"/>
    </row>
    <row r="888" spans="1:9" ht="14.4">
      <c r="A888" s="413"/>
      <c r="B888" s="2"/>
      <c r="C888" s="14"/>
      <c r="D888" s="1548" t="s">
        <v>1657</v>
      </c>
      <c r="E888" s="1548"/>
      <c r="F888" s="1548"/>
      <c r="G888" s="572"/>
      <c r="H888" s="404"/>
      <c r="I888" s="404"/>
    </row>
    <row r="889" spans="1:9" ht="14.4">
      <c r="A889" s="413"/>
      <c r="B889" s="413"/>
      <c r="C889" s="14"/>
      <c r="D889" s="1548"/>
      <c r="E889" s="1548"/>
      <c r="F889" s="1548"/>
      <c r="G889" s="572"/>
      <c r="H889" s="404"/>
      <c r="I889" s="404"/>
    </row>
    <row r="890" spans="1:9" ht="14.4">
      <c r="A890" s="413"/>
      <c r="B890" s="413"/>
      <c r="C890" s="14"/>
      <c r="D890" s="1548"/>
      <c r="E890" s="1548"/>
      <c r="F890" s="1548"/>
      <c r="G890" s="572"/>
      <c r="H890" s="404"/>
      <c r="I890" s="404"/>
    </row>
    <row r="891" spans="1:9" ht="14.4">
      <c r="A891" s="413"/>
      <c r="B891" s="413"/>
      <c r="C891" s="14"/>
      <c r="D891" s="1548"/>
      <c r="E891" s="1548"/>
      <c r="F891" s="1548"/>
      <c r="G891" s="572"/>
      <c r="H891" s="404"/>
      <c r="I891" s="404"/>
    </row>
    <row r="892" spans="1:9" ht="14.4">
      <c r="A892" s="413"/>
      <c r="B892" s="413"/>
      <c r="C892" s="14"/>
      <c r="D892" s="1548"/>
      <c r="E892" s="1548"/>
      <c r="F892" s="1548"/>
      <c r="G892" s="572"/>
      <c r="H892" s="404"/>
      <c r="I892" s="404"/>
    </row>
    <row r="893" spans="1:9" ht="14.4">
      <c r="A893" s="413"/>
      <c r="B893" s="413"/>
      <c r="C893" s="14"/>
      <c r="D893" s="1548"/>
      <c r="E893" s="1548"/>
      <c r="F893" s="1548"/>
      <c r="G893" s="572"/>
      <c r="H893" s="404"/>
      <c r="I893" s="404"/>
    </row>
    <row r="894" spans="1:9" ht="14.4">
      <c r="A894" s="413"/>
      <c r="B894" s="413"/>
      <c r="C894" s="14"/>
      <c r="D894" s="287"/>
      <c r="E894" s="296"/>
      <c r="F894" s="296"/>
      <c r="G894" s="572"/>
      <c r="H894" s="404"/>
      <c r="I894" s="404"/>
    </row>
    <row r="895" spans="1:9" ht="14.4">
      <c r="A895" s="413"/>
      <c r="B895" s="950" t="s">
        <v>136</v>
      </c>
      <c r="C895" s="14"/>
      <c r="D895" s="1562" t="s">
        <v>1302</v>
      </c>
      <c r="E895" s="1562"/>
      <c r="F895" s="1562"/>
      <c r="G895" s="572"/>
      <c r="H895" s="404"/>
      <c r="I895" s="404"/>
    </row>
    <row r="896" spans="1:9" ht="14.4">
      <c r="A896" s="413"/>
      <c r="B896" s="413"/>
      <c r="C896" s="14"/>
      <c r="D896" s="1562" t="s">
        <v>1303</v>
      </c>
      <c r="E896" s="1562"/>
      <c r="F896" s="1562"/>
      <c r="G896" s="572"/>
      <c r="H896" s="404"/>
      <c r="I896" s="404"/>
    </row>
    <row r="897" spans="1:9" ht="14.4">
      <c r="A897" s="413"/>
      <c r="B897" s="413"/>
      <c r="C897" s="14"/>
      <c r="D897" s="6" t="s">
        <v>1658</v>
      </c>
      <c r="E897" s="1563" t="s">
        <v>1632</v>
      </c>
      <c r="F897" s="1563"/>
      <c r="G897" s="572"/>
      <c r="H897" s="404"/>
      <c r="I897" s="404"/>
    </row>
    <row r="898" spans="1:9" ht="14.4">
      <c r="A898" s="413"/>
      <c r="B898" s="413"/>
      <c r="C898" s="14"/>
      <c r="D898" s="287"/>
      <c r="E898" s="296"/>
      <c r="F898" s="296"/>
      <c r="G898" s="572"/>
      <c r="H898" s="404"/>
      <c r="I898" s="404"/>
    </row>
    <row r="899" spans="1:9" ht="14.4">
      <c r="A899" s="413"/>
      <c r="B899" s="950" t="s">
        <v>136</v>
      </c>
      <c r="C899" s="14"/>
      <c r="D899" s="1543" t="s">
        <v>1633</v>
      </c>
      <c r="E899" s="1543"/>
      <c r="F899" s="1543"/>
      <c r="G899" s="572"/>
      <c r="H899" s="404"/>
      <c r="I899" s="404"/>
    </row>
    <row r="900" spans="1:9" ht="14.4">
      <c r="A900" s="413"/>
      <c r="B900" s="413"/>
      <c r="C900" s="14"/>
      <c r="D900" s="1543"/>
      <c r="E900" s="1543"/>
      <c r="F900" s="1543"/>
      <c r="G900" s="572"/>
      <c r="H900" s="404"/>
      <c r="I900" s="404"/>
    </row>
    <row r="901" spans="1:9" ht="14.4">
      <c r="A901" s="413"/>
      <c r="B901" s="413"/>
      <c r="C901" s="14"/>
      <c r="D901" s="1543"/>
      <c r="E901" s="1543"/>
      <c r="F901" s="1543"/>
      <c r="G901" s="572"/>
      <c r="H901" s="404"/>
      <c r="I901" s="404"/>
    </row>
    <row r="902" spans="1:9" ht="14.4">
      <c r="A902" s="413"/>
      <c r="B902" s="413"/>
      <c r="C902" s="14"/>
      <c r="D902" s="1543"/>
      <c r="E902" s="1543"/>
      <c r="F902" s="1543"/>
      <c r="G902" s="572"/>
      <c r="H902" s="404"/>
      <c r="I902" s="404"/>
    </row>
    <row r="903" spans="1:9" ht="13.2">
      <c r="A903" s="143"/>
      <c r="B903" s="143"/>
      <c r="C903" s="322"/>
      <c r="D903" s="296"/>
      <c r="E903" s="296"/>
      <c r="F903" s="296"/>
      <c r="G903" s="572"/>
      <c r="H903" s="404"/>
      <c r="I903" s="404"/>
    </row>
    <row r="904" spans="1:9" ht="13.2">
      <c r="A904" s="1595" t="s">
        <v>1561</v>
      </c>
      <c r="B904" s="1595"/>
      <c r="C904" s="1595"/>
      <c r="D904" s="1595"/>
      <c r="E904" s="1595"/>
      <c r="F904" s="1595"/>
      <c r="G904" s="1595"/>
      <c r="H904" s="404"/>
      <c r="I904" s="404"/>
    </row>
    <row r="905" spans="1:9" ht="13.2">
      <c r="A905" s="143"/>
      <c r="B905" s="143"/>
      <c r="C905" s="322"/>
      <c r="D905" s="296"/>
      <c r="E905" s="296"/>
      <c r="F905" s="296"/>
      <c r="G905" s="572"/>
      <c r="H905" s="404"/>
      <c r="I905" s="404"/>
    </row>
    <row r="906" spans="1:9" ht="13.2">
      <c r="A906" s="140"/>
      <c r="B906" s="140"/>
      <c r="C906" s="322"/>
      <c r="D906" s="1555" t="s">
        <v>1845</v>
      </c>
      <c r="E906" s="1555"/>
      <c r="F906" s="1555"/>
      <c r="G906" s="572"/>
      <c r="H906" s="404"/>
      <c r="I906" s="404"/>
    </row>
    <row r="907" spans="1:9" ht="13.2">
      <c r="A907" s="414"/>
      <c r="B907" s="414"/>
      <c r="C907" s="298"/>
      <c r="D907" s="1544" t="s">
        <v>1655</v>
      </c>
      <c r="E907" s="1544"/>
      <c r="F907" s="1544"/>
      <c r="G907" s="572"/>
      <c r="H907" s="404"/>
      <c r="I907" s="404"/>
    </row>
    <row r="908" spans="1:9" ht="13.2">
      <c r="A908" s="414"/>
      <c r="B908" s="414"/>
      <c r="C908" s="298"/>
      <c r="D908" s="282"/>
      <c r="E908" s="282"/>
      <c r="F908" s="296"/>
      <c r="G908" s="572"/>
      <c r="H908" s="404"/>
      <c r="I908" s="404"/>
    </row>
    <row r="909" spans="1:9" ht="13.65" customHeight="1">
      <c r="A909" s="414"/>
      <c r="B909" s="1020" t="s">
        <v>136</v>
      </c>
      <c r="C909" s="298"/>
      <c r="D909" s="1558" t="s">
        <v>1855</v>
      </c>
      <c r="E909" s="1558"/>
      <c r="F909" s="1558"/>
      <c r="G909" s="572"/>
      <c r="H909" s="404"/>
      <c r="I909" s="404"/>
    </row>
    <row r="910" spans="1:9" ht="13.2">
      <c r="A910" s="414"/>
      <c r="B910" s="414"/>
      <c r="C910" s="298"/>
      <c r="D910" s="1558"/>
      <c r="E910" s="1558"/>
      <c r="F910" s="1558"/>
      <c r="G910" s="572"/>
      <c r="H910" s="404"/>
      <c r="I910" s="404"/>
    </row>
    <row r="911" spans="1:9" ht="13.2">
      <c r="A911" s="414"/>
      <c r="B911" s="414"/>
      <c r="C911" s="298"/>
      <c r="D911" s="1558"/>
      <c r="E911" s="1558"/>
      <c r="F911" s="1558"/>
      <c r="G911" s="572"/>
      <c r="H911" s="404"/>
      <c r="I911" s="404"/>
    </row>
    <row r="912" spans="1:9" ht="13.2">
      <c r="A912" s="414"/>
      <c r="B912" s="414"/>
      <c r="C912" s="298"/>
      <c r="D912" s="1558"/>
      <c r="E912" s="1558"/>
      <c r="F912" s="1558"/>
      <c r="G912" s="572"/>
      <c r="H912" s="404"/>
      <c r="I912" s="404"/>
    </row>
    <row r="913" spans="1:9" ht="13.2">
      <c r="A913" s="414"/>
      <c r="B913" s="414"/>
      <c r="C913" s="298"/>
      <c r="D913" s="1558"/>
      <c r="E913" s="1558"/>
      <c r="F913" s="1558"/>
      <c r="G913" s="572"/>
      <c r="H913" s="404"/>
      <c r="I913" s="404"/>
    </row>
    <row r="914" spans="1:9" ht="13.2">
      <c r="A914" s="415"/>
      <c r="B914" s="415"/>
      <c r="C914" s="299"/>
      <c r="D914" s="282"/>
      <c r="E914" s="282"/>
      <c r="F914" s="296"/>
      <c r="G914" s="572"/>
      <c r="H914" s="404"/>
      <c r="I914" s="404"/>
    </row>
    <row r="915" spans="1:9" ht="14.25" customHeight="1">
      <c r="A915" s="570"/>
      <c r="B915" s="950" t="s">
        <v>1533</v>
      </c>
      <c r="C915" s="571"/>
      <c r="D915" s="1559" t="s">
        <v>1955</v>
      </c>
      <c r="E915" s="1559"/>
      <c r="F915" s="1559"/>
      <c r="G915" s="572"/>
      <c r="H915" s="404"/>
      <c r="I915" s="404"/>
    </row>
    <row r="916" spans="1:9" ht="14.25" customHeight="1">
      <c r="A916" s="570"/>
      <c r="B916" s="570"/>
      <c r="C916" s="571"/>
      <c r="D916" s="1559"/>
      <c r="E916" s="1559"/>
      <c r="F916" s="1559"/>
      <c r="G916" s="572"/>
      <c r="H916" s="404"/>
      <c r="I916" s="404"/>
    </row>
    <row r="917" spans="1:9" ht="14.25" customHeight="1">
      <c r="A917" s="570"/>
      <c r="B917" s="570"/>
      <c r="C917" s="571"/>
      <c r="D917" s="1559"/>
      <c r="E917" s="1559"/>
      <c r="F917" s="1559"/>
      <c r="G917" s="572"/>
      <c r="H917" s="404"/>
      <c r="I917" s="404"/>
    </row>
    <row r="918" spans="1:9" ht="14.25" customHeight="1">
      <c r="A918" s="570"/>
      <c r="B918" s="570"/>
      <c r="C918" s="571"/>
      <c r="D918" s="1559"/>
      <c r="E918" s="1559"/>
      <c r="F918" s="1559"/>
      <c r="G918" s="572"/>
      <c r="H918" s="404"/>
      <c r="I918" s="404"/>
    </row>
    <row r="919" spans="1:9" ht="14.25" customHeight="1">
      <c r="A919" s="573"/>
      <c r="B919" s="573"/>
      <c r="C919" s="571"/>
      <c r="D919" s="1559"/>
      <c r="E919" s="1559"/>
      <c r="F919" s="1559"/>
      <c r="G919" s="572"/>
      <c r="H919" s="404"/>
      <c r="I919" s="404"/>
    </row>
    <row r="920" spans="1:9" ht="14.25" customHeight="1">
      <c r="A920" s="573"/>
      <c r="B920" s="573"/>
      <c r="C920" s="571"/>
      <c r="D920" s="1559"/>
      <c r="E920" s="1559"/>
      <c r="F920" s="1559"/>
      <c r="G920" s="572"/>
      <c r="H920" s="404"/>
      <c r="I920" s="404"/>
    </row>
    <row r="921" spans="1:9" ht="14.25" customHeight="1">
      <c r="A921" s="573"/>
      <c r="B921" s="573"/>
      <c r="C921" s="571"/>
      <c r="D921" s="1559"/>
      <c r="E921" s="1559"/>
      <c r="F921" s="1559"/>
      <c r="G921" s="572"/>
      <c r="H921" s="404"/>
      <c r="I921" s="404"/>
    </row>
    <row r="922" spans="1:9" ht="14.25" customHeight="1">
      <c r="A922" s="573"/>
      <c r="B922" s="573"/>
      <c r="C922" s="571"/>
      <c r="D922" s="330"/>
      <c r="F922" s="572"/>
      <c r="G922" s="572"/>
      <c r="H922" s="404"/>
      <c r="I922" s="404"/>
    </row>
    <row r="923" spans="1:9" s="515" customFormat="1" ht="14.25" customHeight="1">
      <c r="A923" s="574"/>
      <c r="B923" s="950" t="s">
        <v>1533</v>
      </c>
      <c r="C923" s="575"/>
      <c r="D923" s="1559" t="s">
        <v>1956</v>
      </c>
      <c r="E923" s="1559"/>
      <c r="F923" s="1559"/>
      <c r="G923" s="577"/>
      <c r="H923" s="578"/>
      <c r="I923" s="578"/>
    </row>
    <row r="924" spans="1:9" s="515" customFormat="1" ht="14.25" customHeight="1">
      <c r="A924" s="574"/>
      <c r="B924" s="574"/>
      <c r="C924" s="575"/>
      <c r="D924" s="1559"/>
      <c r="E924" s="1559"/>
      <c r="F924" s="1559"/>
      <c r="G924" s="577"/>
      <c r="H924" s="578"/>
      <c r="I924" s="578"/>
    </row>
    <row r="925" spans="1:9" s="515" customFormat="1" ht="14.25" customHeight="1">
      <c r="A925" s="574"/>
      <c r="B925" s="574"/>
      <c r="C925" s="575"/>
      <c r="D925" s="1559"/>
      <c r="E925" s="1559"/>
      <c r="F925" s="1559"/>
      <c r="G925" s="577"/>
      <c r="H925" s="578"/>
      <c r="I925" s="578"/>
    </row>
    <row r="926" spans="1:9" s="515" customFormat="1" ht="14.25" customHeight="1">
      <c r="A926" s="574"/>
      <c r="B926" s="574"/>
      <c r="C926" s="575"/>
      <c r="D926" s="1559"/>
      <c r="E926" s="1559"/>
      <c r="F926" s="1559"/>
      <c r="G926" s="577"/>
      <c r="H926" s="578"/>
      <c r="I926" s="578"/>
    </row>
    <row r="927" spans="1:9" s="515" customFormat="1" ht="14.25" customHeight="1">
      <c r="A927" s="574"/>
      <c r="B927" s="574"/>
      <c r="C927" s="575"/>
      <c r="D927" s="1559"/>
      <c r="E927" s="1559"/>
      <c r="F927" s="1559"/>
      <c r="G927" s="577"/>
      <c r="H927" s="578"/>
      <c r="I927" s="578"/>
    </row>
    <row r="928" spans="1:9" s="515" customFormat="1" ht="14.4">
      <c r="A928" s="574"/>
      <c r="B928" s="574"/>
      <c r="C928" s="575"/>
      <c r="D928" s="1559"/>
      <c r="E928" s="1559"/>
      <c r="F928" s="1559"/>
      <c r="G928" s="577"/>
      <c r="H928" s="578"/>
      <c r="I928" s="578"/>
    </row>
    <row r="929" spans="1:9" s="515" customFormat="1" ht="14.25" customHeight="1">
      <c r="A929" s="574"/>
      <c r="B929" s="574"/>
      <c r="C929" s="575"/>
      <c r="D929" s="1559"/>
      <c r="E929" s="1559"/>
      <c r="F929" s="1559"/>
      <c r="G929" s="577"/>
      <c r="H929" s="578"/>
      <c r="I929" s="578"/>
    </row>
    <row r="930" spans="1:9" s="515" customFormat="1" ht="14.25" customHeight="1">
      <c r="A930" s="574"/>
      <c r="B930" s="574"/>
      <c r="C930" s="575"/>
      <c r="D930" s="1559"/>
      <c r="E930" s="1559"/>
      <c r="F930" s="1559"/>
      <c r="G930" s="577"/>
      <c r="H930" s="578"/>
      <c r="I930" s="578"/>
    </row>
    <row r="931" spans="1:9" s="515" customFormat="1" ht="14.25" customHeight="1">
      <c r="A931" s="574"/>
      <c r="B931" s="574"/>
      <c r="C931" s="575"/>
      <c r="D931" s="1559"/>
      <c r="E931" s="1559"/>
      <c r="F931" s="1559"/>
      <c r="G931" s="577"/>
      <c r="H931" s="578"/>
      <c r="I931" s="578"/>
    </row>
    <row r="932" spans="1:9" ht="14.25" customHeight="1">
      <c r="A932" s="573"/>
      <c r="B932" s="573"/>
      <c r="C932" s="571"/>
      <c r="D932" s="330"/>
      <c r="F932" s="572"/>
      <c r="G932" s="572"/>
      <c r="H932" s="404"/>
      <c r="I932" s="404"/>
    </row>
    <row r="933" spans="1:9" ht="14.25" customHeight="1">
      <c r="A933" s="570"/>
      <c r="B933" s="950" t="s">
        <v>1533</v>
      </c>
      <c r="C933" s="571"/>
      <c r="D933" s="1560" t="s">
        <v>1856</v>
      </c>
      <c r="E933" s="1560"/>
      <c r="F933" s="1560"/>
      <c r="G933" s="572"/>
      <c r="H933" s="404"/>
      <c r="I933" s="404"/>
    </row>
    <row r="934" spans="1:9" ht="14.25" customHeight="1">
      <c r="A934" s="570"/>
      <c r="B934" s="570"/>
      <c r="C934" s="571"/>
      <c r="D934" s="1560"/>
      <c r="E934" s="1560"/>
      <c r="F934" s="1560"/>
      <c r="G934" s="572"/>
      <c r="H934" s="404"/>
      <c r="I934" s="404"/>
    </row>
    <row r="935" spans="1:9" ht="14.25" customHeight="1">
      <c r="A935" s="570"/>
      <c r="B935" s="570"/>
      <c r="C935" s="571"/>
      <c r="D935" s="1560"/>
      <c r="E935" s="1560"/>
      <c r="F935" s="1560"/>
      <c r="G935" s="572"/>
      <c r="H935" s="404"/>
      <c r="I935" s="404"/>
    </row>
    <row r="936" spans="1:9" ht="14.25" customHeight="1">
      <c r="A936" s="570"/>
      <c r="B936" s="570"/>
      <c r="C936" s="571"/>
      <c r="D936" s="1560"/>
      <c r="E936" s="1560"/>
      <c r="F936" s="1560"/>
      <c r="G936" s="572"/>
      <c r="H936" s="404"/>
      <c r="I936" s="404"/>
    </row>
    <row r="937" spans="1:9" ht="14.25" customHeight="1">
      <c r="A937" s="570"/>
      <c r="B937" s="570"/>
      <c r="C937" s="571"/>
      <c r="D937" s="1560"/>
      <c r="E937" s="1560"/>
      <c r="F937" s="1560"/>
      <c r="G937" s="572"/>
      <c r="H937" s="404"/>
      <c r="I937" s="404"/>
    </row>
    <row r="938" spans="1:9" ht="14.25" customHeight="1">
      <c r="A938" s="570"/>
      <c r="B938" s="570"/>
      <c r="C938" s="571"/>
      <c r="D938" s="1560"/>
      <c r="E938" s="1560"/>
      <c r="F938" s="1560"/>
      <c r="G938" s="572"/>
      <c r="H938" s="404"/>
      <c r="I938" s="404"/>
    </row>
    <row r="939" spans="1:9" ht="14.25" customHeight="1">
      <c r="A939" s="570"/>
      <c r="B939" s="570"/>
      <c r="C939" s="571"/>
      <c r="D939" s="1560"/>
      <c r="E939" s="1560"/>
      <c r="F939" s="1560"/>
      <c r="G939" s="572"/>
      <c r="H939" s="404"/>
      <c r="I939" s="404"/>
    </row>
    <row r="940" spans="1:9" ht="14.25" customHeight="1">
      <c r="A940" s="570"/>
      <c r="B940" s="570"/>
      <c r="C940" s="571"/>
      <c r="D940" s="638"/>
      <c r="F940" s="572"/>
      <c r="G940" s="572"/>
      <c r="H940" s="404"/>
      <c r="I940" s="404"/>
    </row>
    <row r="941" spans="1:9" s="707" customFormat="1" ht="14.4">
      <c r="A941" s="570"/>
      <c r="B941" s="950" t="s">
        <v>136</v>
      </c>
      <c r="C941" s="571"/>
      <c r="D941" s="1559" t="s">
        <v>1857</v>
      </c>
      <c r="E941" s="1559"/>
      <c r="F941" s="1559"/>
      <c r="G941" s="572"/>
      <c r="H941" s="770"/>
    </row>
    <row r="942" spans="1:9" s="707" customFormat="1" ht="14.4">
      <c r="A942" s="570"/>
      <c r="B942" s="570"/>
      <c r="C942" s="571"/>
      <c r="D942" s="1559"/>
      <c r="E942" s="1559"/>
      <c r="F942" s="1559"/>
      <c r="G942" s="572"/>
      <c r="H942" s="770"/>
    </row>
    <row r="943" spans="1:9" s="707" customFormat="1" ht="14.4">
      <c r="A943" s="570"/>
      <c r="B943" s="570"/>
      <c r="C943" s="571"/>
      <c r="D943" s="1559"/>
      <c r="E943" s="1559"/>
      <c r="F943" s="1559"/>
      <c r="G943" s="572"/>
      <c r="H943" s="770"/>
    </row>
    <row r="944" spans="1:9" s="707" customFormat="1" ht="14.4">
      <c r="A944" s="570"/>
      <c r="B944" s="570"/>
      <c r="C944" s="571"/>
      <c r="D944" s="1559"/>
      <c r="E944" s="1559"/>
      <c r="F944" s="1559"/>
      <c r="G944" s="572"/>
      <c r="H944" s="770"/>
    </row>
    <row r="945" spans="1:9" s="707" customFormat="1" ht="14.4">
      <c r="A945" s="570"/>
      <c r="B945" s="570"/>
      <c r="C945" s="571"/>
      <c r="D945" s="330"/>
      <c r="E945" s="329"/>
      <c r="F945" s="572"/>
      <c r="G945" s="572"/>
      <c r="H945" s="770"/>
    </row>
    <row r="946" spans="1:9" ht="14.25" customHeight="1">
      <c r="A946" s="33"/>
      <c r="B946" s="33"/>
      <c r="C946" s="322"/>
      <c r="D946" s="1543" t="s">
        <v>1858</v>
      </c>
      <c r="E946" s="1543"/>
      <c r="F946" s="1543"/>
      <c r="G946" s="572"/>
      <c r="H946" s="404"/>
      <c r="I946" s="404"/>
    </row>
    <row r="947" spans="1:9" ht="14.25" customHeight="1">
      <c r="A947" s="355"/>
      <c r="B947" s="355"/>
      <c r="C947" s="322"/>
      <c r="D947" s="1543"/>
      <c r="E947" s="1543"/>
      <c r="F947" s="1543"/>
      <c r="G947" s="572"/>
      <c r="H947" s="404"/>
      <c r="I947" s="404"/>
    </row>
    <row r="948" spans="1:9" ht="14.25" customHeight="1">
      <c r="A948" s="355"/>
      <c r="B948" s="355"/>
      <c r="C948" s="322"/>
      <c r="D948" s="6"/>
      <c r="E948" s="296"/>
      <c r="F948" s="296"/>
      <c r="G948" s="572"/>
      <c r="H948" s="404"/>
      <c r="I948" s="404"/>
    </row>
    <row r="949" spans="1:9" ht="14.4">
      <c r="A949" s="413"/>
      <c r="B949" s="950" t="s">
        <v>1533</v>
      </c>
      <c r="C949" s="14"/>
      <c r="D949" s="1543" t="s">
        <v>1859</v>
      </c>
      <c r="E949" s="1543"/>
      <c r="F949" s="1543"/>
    </row>
    <row r="950" spans="1:9" ht="13.2">
      <c r="A950" s="140"/>
      <c r="B950" s="140"/>
      <c r="C950" s="14"/>
      <c r="D950" s="1543"/>
      <c r="E950" s="1543"/>
      <c r="F950" s="1543"/>
    </row>
    <row r="951" spans="1:9" ht="14.25" customHeight="1">
      <c r="A951" s="355"/>
      <c r="B951" s="355"/>
      <c r="C951" s="322"/>
      <c r="D951" s="6"/>
      <c r="E951" s="296"/>
      <c r="F951" s="296"/>
      <c r="G951" s="572"/>
      <c r="H951" s="404"/>
      <c r="I951" s="404"/>
    </row>
    <row r="952" spans="1:9" ht="14.25" customHeight="1">
      <c r="A952" s="415"/>
      <c r="B952" s="415"/>
      <c r="C952" s="299"/>
      <c r="D952" s="1555" t="s">
        <v>1848</v>
      </c>
      <c r="E952" s="1555"/>
      <c r="F952" s="1555"/>
      <c r="G952" s="572"/>
      <c r="H952" s="404"/>
      <c r="I952" s="404"/>
    </row>
    <row r="953" spans="1:9" ht="14.25" customHeight="1">
      <c r="A953" s="415"/>
      <c r="B953" s="415"/>
      <c r="C953" s="299"/>
      <c r="D953" s="1017"/>
      <c r="E953" s="282"/>
      <c r="F953" s="296"/>
      <c r="G953" s="572"/>
      <c r="H953" s="404"/>
      <c r="I953" s="404"/>
    </row>
    <row r="954" spans="1:9" ht="14.4" customHeight="1">
      <c r="A954" s="413"/>
      <c r="B954" s="950" t="s">
        <v>1533</v>
      </c>
      <c r="C954" s="322"/>
      <c r="D954" s="1554" t="s">
        <v>1847</v>
      </c>
      <c r="E954" s="1554"/>
      <c r="F954" s="1554"/>
      <c r="G954" s="572"/>
      <c r="H954" s="404"/>
      <c r="I954" s="404"/>
    </row>
    <row r="955" spans="1:9" ht="13.2">
      <c r="A955" s="355"/>
      <c r="B955" s="355"/>
      <c r="C955" s="322"/>
      <c r="D955" s="1554"/>
      <c r="E955" s="1554"/>
      <c r="F955" s="1554"/>
      <c r="G955" s="572"/>
      <c r="H955" s="404"/>
      <c r="I955" s="404"/>
    </row>
    <row r="956" spans="1:9" ht="13.2">
      <c r="A956" s="355"/>
      <c r="B956" s="355"/>
      <c r="C956" s="322"/>
      <c r="D956" s="1554"/>
      <c r="E956" s="1554"/>
      <c r="F956" s="1554"/>
      <c r="G956" s="572"/>
      <c r="H956" s="404"/>
      <c r="I956" s="404"/>
    </row>
    <row r="957" spans="1:9" ht="13.2">
      <c r="A957" s="355"/>
      <c r="B957" s="355"/>
      <c r="C957" s="322"/>
      <c r="D957" s="1554"/>
      <c r="E957" s="1554"/>
      <c r="F957" s="1554"/>
      <c r="G957" s="572"/>
      <c r="H957" s="404"/>
      <c r="I957" s="404"/>
    </row>
    <row r="958" spans="1:9" ht="13.2">
      <c r="A958" s="355"/>
      <c r="B958" s="355"/>
      <c r="C958" s="322"/>
      <c r="D958" s="1554"/>
      <c r="E958" s="1554"/>
      <c r="F958" s="1554"/>
      <c r="G958" s="572"/>
      <c r="H958" s="404"/>
      <c r="I958" s="404"/>
    </row>
    <row r="959" spans="1:9" ht="13.2">
      <c r="A959" s="355"/>
      <c r="B959" s="355"/>
      <c r="C959" s="322"/>
      <c r="D959" s="1554"/>
      <c r="E959" s="1554"/>
      <c r="F959" s="1554"/>
      <c r="G959" s="572"/>
      <c r="H959" s="404"/>
      <c r="I959" s="404"/>
    </row>
    <row r="960" spans="1:9" ht="13.2">
      <c r="A960" s="355"/>
      <c r="B960" s="355"/>
      <c r="C960" s="322"/>
      <c r="D960" s="1019"/>
      <c r="E960" s="1019"/>
      <c r="F960" s="1019"/>
      <c r="G960" s="572"/>
      <c r="H960" s="404"/>
      <c r="I960" s="404"/>
    </row>
    <row r="961" spans="1:9" ht="14.4" customHeight="1">
      <c r="A961" s="413"/>
      <c r="B961" s="950" t="s">
        <v>136</v>
      </c>
      <c r="C961" s="322"/>
      <c r="D961" s="1554" t="s">
        <v>1846</v>
      </c>
      <c r="E961" s="1554"/>
      <c r="F961" s="1554"/>
      <c r="G961" s="572"/>
      <c r="H961" s="404"/>
      <c r="I961" s="404"/>
    </row>
    <row r="962" spans="1:9" ht="13.2">
      <c r="A962" s="355"/>
      <c r="B962" s="355"/>
      <c r="C962" s="322"/>
      <c r="D962" s="1554"/>
      <c r="E962" s="1554"/>
      <c r="F962" s="1554"/>
      <c r="G962" s="572"/>
      <c r="H962" s="404"/>
      <c r="I962" s="404"/>
    </row>
    <row r="963" spans="1:9" ht="13.2">
      <c r="A963" s="355"/>
      <c r="B963" s="355"/>
      <c r="C963" s="322"/>
      <c r="D963" s="1554"/>
      <c r="E963" s="1554"/>
      <c r="F963" s="1554"/>
      <c r="G963" s="572"/>
      <c r="H963" s="404"/>
      <c r="I963" s="404"/>
    </row>
    <row r="964" spans="1:9" ht="13.2">
      <c r="A964" s="355"/>
      <c r="B964" s="355"/>
      <c r="C964" s="322"/>
      <c r="D964" s="1554"/>
      <c r="E964" s="1554"/>
      <c r="F964" s="1554"/>
      <c r="G964" s="572"/>
      <c r="H964" s="404"/>
      <c r="I964" s="404"/>
    </row>
    <row r="965" spans="1:9" ht="13.2">
      <c r="A965" s="355"/>
      <c r="B965" s="355"/>
      <c r="C965" s="322"/>
      <c r="D965" s="1554"/>
      <c r="E965" s="1554"/>
      <c r="F965" s="1554"/>
      <c r="G965" s="572"/>
      <c r="H965" s="404"/>
      <c r="I965" s="404"/>
    </row>
    <row r="966" spans="1:9" ht="13.2">
      <c r="A966" s="355"/>
      <c r="B966" s="355"/>
      <c r="C966" s="322"/>
      <c r="D966" s="710"/>
      <c r="E966" s="296"/>
      <c r="F966" s="296"/>
      <c r="G966" s="572"/>
      <c r="H966" s="404"/>
      <c r="I966" s="404"/>
    </row>
    <row r="967" spans="1:9" ht="14.4">
      <c r="A967" s="413"/>
      <c r="B967" s="950" t="s">
        <v>136</v>
      </c>
      <c r="C967" s="322"/>
      <c r="D967" s="1554" t="s">
        <v>1849</v>
      </c>
      <c r="E967" s="1554"/>
      <c r="F967" s="1554"/>
      <c r="G967" s="572"/>
      <c r="H967" s="404"/>
      <c r="I967" s="404"/>
    </row>
    <row r="968" spans="1:9" ht="13.2">
      <c r="A968" s="355"/>
      <c r="B968" s="355"/>
      <c r="C968" s="322"/>
      <c r="D968" s="1554"/>
      <c r="E968" s="1554"/>
      <c r="F968" s="1554"/>
      <c r="G968" s="572"/>
      <c r="H968" s="404"/>
      <c r="I968" s="404"/>
    </row>
    <row r="969" spans="1:9" ht="13.2">
      <c r="A969" s="355"/>
      <c r="B969" s="355"/>
      <c r="C969" s="322"/>
      <c r="D969" s="1554"/>
      <c r="E969" s="1554"/>
      <c r="F969" s="1554"/>
      <c r="G969" s="572"/>
      <c r="H969" s="404"/>
      <c r="I969" s="404"/>
    </row>
    <row r="970" spans="1:9" ht="13.2">
      <c r="A970" s="355"/>
      <c r="B970" s="355"/>
      <c r="C970" s="322"/>
      <c r="D970" s="1554"/>
      <c r="E970" s="1554"/>
      <c r="F970" s="1554"/>
      <c r="G970" s="572"/>
      <c r="H970" s="404"/>
      <c r="I970" s="404"/>
    </row>
    <row r="971" spans="1:9" ht="13.2">
      <c r="A971" s="355"/>
      <c r="B971" s="355"/>
      <c r="C971" s="322"/>
      <c r="D971" s="1554"/>
      <c r="E971" s="1554"/>
      <c r="F971" s="1554"/>
      <c r="G971" s="572"/>
      <c r="H971" s="404"/>
      <c r="I971" s="404"/>
    </row>
    <row r="972" spans="1:9" ht="13.2">
      <c r="A972" s="355"/>
      <c r="B972" s="355"/>
      <c r="C972" s="322"/>
      <c r="D972" s="710"/>
      <c r="E972" s="296"/>
      <c r="F972" s="296"/>
      <c r="G972" s="572"/>
      <c r="H972" s="404"/>
      <c r="I972" s="404"/>
    </row>
    <row r="973" spans="1:9" ht="14.4" customHeight="1">
      <c r="A973" s="413"/>
      <c r="B973" s="950" t="s">
        <v>136</v>
      </c>
      <c r="C973" s="322"/>
      <c r="D973" s="1554" t="s">
        <v>1850</v>
      </c>
      <c r="E973" s="1554"/>
      <c r="F973" s="1554"/>
      <c r="G973" s="572"/>
      <c r="H973" s="404"/>
      <c r="I973" s="404"/>
    </row>
    <row r="974" spans="1:9" ht="13.2">
      <c r="A974" s="355"/>
      <c r="B974" s="355"/>
      <c r="C974" s="322"/>
      <c r="D974" s="1554"/>
      <c r="E974" s="1554"/>
      <c r="F974" s="1554"/>
      <c r="G974" s="572"/>
      <c r="H974" s="404"/>
      <c r="I974" s="404"/>
    </row>
    <row r="975" spans="1:9" ht="13.2">
      <c r="A975" s="355"/>
      <c r="B975" s="355"/>
      <c r="C975" s="322"/>
      <c r="D975" s="1554"/>
      <c r="E975" s="1554"/>
      <c r="F975" s="1554"/>
      <c r="G975" s="572"/>
      <c r="H975" s="404"/>
      <c r="I975" s="404"/>
    </row>
    <row r="976" spans="1:9" ht="13.2">
      <c r="A976" s="355"/>
      <c r="B976" s="355"/>
      <c r="C976" s="322"/>
      <c r="D976" s="1019"/>
      <c r="E976" s="1019"/>
      <c r="F976" s="1019"/>
      <c r="G976" s="572"/>
      <c r="H976" s="404"/>
      <c r="I976" s="404"/>
    </row>
    <row r="977" spans="1:9" ht="14.4">
      <c r="A977" s="413"/>
      <c r="B977" s="950" t="s">
        <v>136</v>
      </c>
      <c r="C977" s="322"/>
      <c r="D977" s="1554" t="s">
        <v>1851</v>
      </c>
      <c r="E977" s="1554"/>
      <c r="F977" s="1554"/>
      <c r="G977" s="572"/>
      <c r="H977" s="404"/>
      <c r="I977" s="404"/>
    </row>
    <row r="978" spans="1:9" ht="13.2">
      <c r="A978" s="355"/>
      <c r="B978" s="355"/>
      <c r="C978" s="322"/>
      <c r="D978" s="1554"/>
      <c r="E978" s="1554"/>
      <c r="F978" s="1554"/>
      <c r="G978" s="572"/>
      <c r="H978" s="404"/>
      <c r="I978" s="404"/>
    </row>
    <row r="979" spans="1:9" ht="13.2">
      <c r="A979" s="355"/>
      <c r="B979" s="355"/>
      <c r="C979" s="322"/>
      <c r="D979" s="710"/>
      <c r="E979" s="296"/>
      <c r="F979" s="296"/>
      <c r="G979" s="572"/>
      <c r="H979" s="404"/>
      <c r="I979" s="404"/>
    </row>
    <row r="980" spans="1:9" ht="13.2">
      <c r="A980" s="355"/>
      <c r="B980" s="950" t="s">
        <v>136</v>
      </c>
      <c r="C980" s="322"/>
      <c r="D980" s="1543" t="s">
        <v>1852</v>
      </c>
      <c r="E980" s="1543"/>
      <c r="F980" s="1543"/>
      <c r="G980" s="572"/>
      <c r="H980" s="404"/>
      <c r="I980" s="404"/>
    </row>
    <row r="981" spans="1:9" ht="13.2">
      <c r="A981" s="355"/>
      <c r="B981" s="355"/>
      <c r="C981" s="322"/>
      <c r="D981" s="1543"/>
      <c r="E981" s="1543"/>
      <c r="F981" s="1543"/>
      <c r="G981" s="572"/>
      <c r="H981" s="404"/>
      <c r="I981" s="404"/>
    </row>
    <row r="982" spans="1:9" ht="13.2">
      <c r="A982" s="355"/>
      <c r="B982" s="355"/>
      <c r="C982" s="322"/>
      <c r="D982" s="296"/>
      <c r="E982" s="296"/>
      <c r="F982" s="296"/>
      <c r="G982" s="572"/>
      <c r="H982" s="404"/>
      <c r="I982" s="404"/>
    </row>
    <row r="983" spans="1:9" ht="13.2">
      <c r="A983" s="355"/>
      <c r="B983" s="950" t="s">
        <v>136</v>
      </c>
      <c r="C983" s="322"/>
      <c r="D983" s="1556" t="s">
        <v>2005</v>
      </c>
      <c r="E983" s="1557"/>
      <c r="F983" s="1557"/>
      <c r="G983" s="572"/>
      <c r="H983" s="404"/>
      <c r="I983" s="404"/>
    </row>
    <row r="984" spans="1:9" ht="13.2">
      <c r="A984" s="355"/>
      <c r="B984" s="355"/>
      <c r="C984" s="322"/>
      <c r="D984" s="1556"/>
      <c r="E984" s="1557"/>
      <c r="F984" s="1557"/>
      <c r="G984" s="572"/>
      <c r="H984" s="404"/>
      <c r="I984" s="404"/>
    </row>
    <row r="985" spans="1:9" ht="13.2">
      <c r="A985" s="355"/>
      <c r="B985" s="355"/>
      <c r="C985" s="322"/>
      <c r="D985" s="1556"/>
      <c r="E985" s="1557"/>
      <c r="F985" s="1557"/>
      <c r="G985" s="572"/>
      <c r="H985" s="404"/>
      <c r="I985" s="404"/>
    </row>
    <row r="986" spans="1:9" ht="13.2">
      <c r="A986" s="355"/>
      <c r="B986" s="355"/>
      <c r="C986" s="322"/>
      <c r="D986" s="1557"/>
      <c r="E986" s="1557"/>
      <c r="F986" s="1557"/>
      <c r="G986" s="572"/>
      <c r="H986" s="404"/>
      <c r="I986" s="404"/>
    </row>
    <row r="987" spans="1:9" ht="13.2">
      <c r="A987" s="355"/>
      <c r="B987" s="355"/>
      <c r="C987" s="322"/>
      <c r="D987" s="287"/>
      <c r="E987" s="296"/>
      <c r="F987" s="296"/>
      <c r="G987" s="572"/>
      <c r="H987" s="404"/>
      <c r="I987" s="404"/>
    </row>
    <row r="988" spans="1:9" ht="13.2">
      <c r="A988" s="355"/>
      <c r="B988" s="950" t="s">
        <v>136</v>
      </c>
      <c r="C988" s="322"/>
      <c r="D988" s="1544" t="s">
        <v>1236</v>
      </c>
      <c r="E988" s="1544"/>
      <c r="F988" s="1544"/>
      <c r="G988" s="572"/>
      <c r="H988" s="404"/>
      <c r="I988" s="404"/>
    </row>
    <row r="989" spans="1:9" ht="13.2">
      <c r="A989" s="355"/>
      <c r="B989" s="355"/>
      <c r="C989" s="322"/>
      <c r="D989" s="287"/>
      <c r="E989" s="296"/>
      <c r="F989" s="296"/>
      <c r="G989" s="572"/>
      <c r="H989" s="404"/>
      <c r="I989" s="404"/>
    </row>
    <row r="990" spans="1:9" ht="13.2">
      <c r="A990" s="355"/>
      <c r="B990" s="950" t="s">
        <v>136</v>
      </c>
      <c r="C990" s="322"/>
      <c r="D990" s="1544" t="s">
        <v>1237</v>
      </c>
      <c r="E990" s="1544"/>
      <c r="F990" s="1544"/>
      <c r="G990" s="572"/>
      <c r="H990" s="404"/>
      <c r="I990" s="404"/>
    </row>
    <row r="991" spans="1:9" ht="12.75" customHeight="1">
      <c r="A991" s="355"/>
      <c r="B991" s="355"/>
      <c r="C991" s="322"/>
      <c r="D991" s="296"/>
      <c r="E991" s="296"/>
      <c r="F991" s="296"/>
      <c r="G991" s="572"/>
      <c r="H991" s="404"/>
      <c r="I991" s="404"/>
    </row>
    <row r="992" spans="1:9" ht="13.2">
      <c r="A992" s="355"/>
      <c r="B992" s="14"/>
      <c r="C992" s="322"/>
      <c r="D992" s="1547" t="s">
        <v>1659</v>
      </c>
      <c r="E992" s="1547"/>
      <c r="F992" s="1547"/>
      <c r="G992" s="572"/>
      <c r="H992" s="404"/>
      <c r="I992" s="404"/>
    </row>
    <row r="993" spans="1:9" ht="13.2">
      <c r="A993" s="355"/>
      <c r="B993" s="14"/>
      <c r="C993" s="322"/>
      <c r="D993" s="1017"/>
      <c r="E993" s="296"/>
      <c r="F993" s="296"/>
      <c r="G993" s="572"/>
      <c r="H993" s="404"/>
      <c r="I993" s="404"/>
    </row>
    <row r="994" spans="1:9" ht="14.4">
      <c r="A994" s="413"/>
      <c r="B994" s="950" t="s">
        <v>1533</v>
      </c>
      <c r="C994" s="322"/>
      <c r="D994" s="1548" t="s">
        <v>1853</v>
      </c>
      <c r="E994" s="1548"/>
      <c r="F994" s="1548"/>
      <c r="G994" s="572"/>
      <c r="H994" s="404"/>
      <c r="I994" s="404"/>
    </row>
    <row r="995" spans="1:9" ht="13.2">
      <c r="A995" s="355"/>
      <c r="B995" s="355"/>
      <c r="C995" s="322"/>
      <c r="D995" s="1548"/>
      <c r="E995" s="1548"/>
      <c r="F995" s="1548"/>
      <c r="G995" s="572"/>
      <c r="H995" s="404"/>
      <c r="I995" s="404"/>
    </row>
    <row r="996" spans="1:9" ht="13.2">
      <c r="A996" s="355"/>
      <c r="B996" s="355"/>
      <c r="C996" s="322"/>
      <c r="D996" s="1548"/>
      <c r="E996" s="1548"/>
      <c r="F996" s="1548"/>
      <c r="G996" s="572"/>
      <c r="H996" s="404"/>
      <c r="I996" s="404"/>
    </row>
    <row r="997" spans="1:9" ht="13.2">
      <c r="A997" s="355"/>
      <c r="B997" s="355"/>
      <c r="C997" s="322"/>
      <c r="D997" s="1548"/>
      <c r="E997" s="1548"/>
      <c r="F997" s="1548"/>
      <c r="G997" s="572"/>
      <c r="H997" s="404"/>
      <c r="I997" s="404"/>
    </row>
    <row r="998" spans="1:9" ht="13.2">
      <c r="A998" s="355"/>
      <c r="B998" s="355"/>
      <c r="C998" s="322"/>
      <c r="D998" s="1548"/>
      <c r="E998" s="1548"/>
      <c r="F998" s="1548"/>
      <c r="G998" s="572"/>
      <c r="H998" s="404"/>
      <c r="I998" s="404"/>
    </row>
    <row r="999" spans="1:9" ht="13.2">
      <c r="A999" s="355"/>
      <c r="B999" s="355"/>
      <c r="C999" s="322"/>
      <c r="E999" s="282"/>
      <c r="F999" s="282"/>
      <c r="G999" s="572"/>
      <c r="H999" s="404"/>
      <c r="I999" s="404"/>
    </row>
    <row r="1000" spans="1:9" ht="14.4">
      <c r="A1000" s="413"/>
      <c r="B1000" s="950" t="s">
        <v>136</v>
      </c>
      <c r="C1000" s="322"/>
      <c r="D1000" s="1548" t="s">
        <v>1854</v>
      </c>
      <c r="E1000" s="1548"/>
      <c r="F1000" s="1548"/>
      <c r="G1000" s="572"/>
      <c r="H1000" s="404"/>
      <c r="I1000" s="404"/>
    </row>
    <row r="1001" spans="1:9" ht="13.2">
      <c r="A1001" s="355"/>
      <c r="B1001" s="355"/>
      <c r="C1001" s="322"/>
      <c r="D1001" s="1548"/>
      <c r="E1001" s="1548"/>
      <c r="F1001" s="1548"/>
      <c r="G1001" s="572"/>
      <c r="H1001" s="404"/>
      <c r="I1001" s="404"/>
    </row>
    <row r="1002" spans="1:9" ht="13.2">
      <c r="A1002" s="355"/>
      <c r="B1002" s="355"/>
      <c r="C1002" s="322"/>
      <c r="D1002" s="1548"/>
      <c r="E1002" s="1548"/>
      <c r="F1002" s="1548"/>
      <c r="G1002" s="572"/>
      <c r="H1002" s="404"/>
      <c r="I1002" s="404"/>
    </row>
    <row r="1003" spans="1:9" ht="13.2">
      <c r="A1003" s="355"/>
      <c r="B1003" s="355"/>
      <c r="C1003" s="322"/>
      <c r="D1003" s="1548"/>
      <c r="E1003" s="1548"/>
      <c r="F1003" s="1548"/>
      <c r="G1003" s="572"/>
      <c r="H1003" s="404"/>
      <c r="I1003" s="404"/>
    </row>
    <row r="1004" spans="1:9" ht="13.2">
      <c r="A1004" s="355"/>
      <c r="B1004" s="355"/>
      <c r="C1004" s="322"/>
      <c r="D1004" s="1548"/>
      <c r="E1004" s="1548"/>
      <c r="F1004" s="1548"/>
      <c r="G1004" s="572"/>
      <c r="H1004" s="404"/>
      <c r="I1004" s="404"/>
    </row>
    <row r="1005" spans="1:9" ht="13.2">
      <c r="A1005" s="355"/>
      <c r="B1005" s="355"/>
      <c r="C1005" s="322"/>
      <c r="D1005" s="296"/>
      <c r="E1005" s="296"/>
      <c r="F1005" s="296"/>
      <c r="G1005" s="572"/>
      <c r="H1005" s="404"/>
      <c r="I1005" s="404"/>
    </row>
    <row r="1006" spans="1:9" ht="13.2">
      <c r="A1006" s="355"/>
      <c r="B1006" s="355"/>
      <c r="C1006" s="322"/>
      <c r="D1006" s="1547" t="s">
        <v>1660</v>
      </c>
      <c r="E1006" s="1547"/>
      <c r="F1006" s="1547"/>
      <c r="G1006" s="572"/>
      <c r="H1006" s="404"/>
      <c r="I1006" s="404"/>
    </row>
    <row r="1007" spans="1:9" ht="13.2">
      <c r="A1007" s="355"/>
      <c r="B1007" s="355"/>
      <c r="C1007" s="322"/>
      <c r="D1007" s="1017"/>
      <c r="E1007" s="296"/>
      <c r="F1007" s="296"/>
      <c r="G1007" s="572"/>
      <c r="H1007" s="404"/>
      <c r="I1007" s="404"/>
    </row>
    <row r="1008" spans="1:9" ht="14.4">
      <c r="A1008" s="413"/>
      <c r="B1008" s="950" t="s">
        <v>136</v>
      </c>
      <c r="C1008" s="322"/>
      <c r="D1008" s="1548" t="s">
        <v>1860</v>
      </c>
      <c r="E1008" s="1548"/>
      <c r="F1008" s="1548"/>
      <c r="G1008" s="572"/>
      <c r="H1008" s="404"/>
      <c r="I1008" s="404"/>
    </row>
    <row r="1009" spans="1:9" ht="13.2">
      <c r="A1009" s="355"/>
      <c r="B1009" s="355"/>
      <c r="C1009" s="322"/>
      <c r="D1009" s="1548"/>
      <c r="E1009" s="1548"/>
      <c r="F1009" s="1548"/>
      <c r="G1009" s="572"/>
      <c r="H1009" s="404"/>
      <c r="I1009" s="404"/>
    </row>
    <row r="1010" spans="1:9" ht="13.2">
      <c r="A1010" s="355"/>
      <c r="B1010" s="355"/>
      <c r="C1010" s="322"/>
      <c r="D1010" s="1548"/>
      <c r="E1010" s="1548"/>
      <c r="F1010" s="1548"/>
      <c r="G1010" s="572"/>
      <c r="H1010" s="404"/>
      <c r="I1010" s="404"/>
    </row>
    <row r="1011" spans="1:9" ht="13.2">
      <c r="A1011" s="355"/>
      <c r="B1011" s="355"/>
      <c r="C1011" s="322"/>
      <c r="E1011" s="282"/>
      <c r="F1011" s="282"/>
      <c r="G1011" s="572"/>
      <c r="H1011" s="404"/>
      <c r="I1011" s="404"/>
    </row>
    <row r="1012" spans="1:9" ht="14.4">
      <c r="A1012" s="413"/>
      <c r="B1012" s="950" t="s">
        <v>136</v>
      </c>
      <c r="C1012" s="322"/>
      <c r="D1012" s="1548" t="s">
        <v>1861</v>
      </c>
      <c r="E1012" s="1548"/>
      <c r="F1012" s="1548"/>
      <c r="G1012" s="572"/>
      <c r="H1012" s="404"/>
      <c r="I1012" s="404"/>
    </row>
    <row r="1013" spans="1:9" ht="13.2">
      <c r="A1013" s="355"/>
      <c r="B1013" s="355"/>
      <c r="C1013" s="322"/>
      <c r="D1013" s="1548"/>
      <c r="E1013" s="1548"/>
      <c r="F1013" s="1548"/>
      <c r="G1013" s="572"/>
      <c r="H1013" s="404"/>
      <c r="I1013" s="404"/>
    </row>
    <row r="1014" spans="1:9" ht="13.2">
      <c r="A1014" s="355"/>
      <c r="B1014" s="355"/>
      <c r="C1014" s="322"/>
      <c r="D1014" s="1548"/>
      <c r="E1014" s="1548"/>
      <c r="F1014" s="1548"/>
      <c r="G1014" s="572"/>
      <c r="H1014" s="404"/>
      <c r="I1014" s="404"/>
    </row>
    <row r="1015" spans="1:9" ht="13.2">
      <c r="A1015" s="355"/>
      <c r="B1015" s="355"/>
      <c r="C1015" s="322"/>
      <c r="D1015" s="287"/>
      <c r="E1015" s="296"/>
      <c r="F1015" s="296"/>
      <c r="G1015" s="572"/>
      <c r="H1015" s="404"/>
      <c r="I1015" s="404"/>
    </row>
    <row r="1016" spans="1:9" ht="13.2">
      <c r="A1016" s="355"/>
      <c r="B1016" s="355"/>
      <c r="C1016" s="322"/>
      <c r="D1016" s="1547" t="s">
        <v>1661</v>
      </c>
      <c r="E1016" s="1547"/>
      <c r="F1016" s="1547"/>
      <c r="G1016" s="572"/>
      <c r="H1016" s="404"/>
      <c r="I1016" s="404"/>
    </row>
    <row r="1017" spans="1:9" ht="13.2">
      <c r="A1017" s="355"/>
      <c r="B1017" s="355"/>
      <c r="C1017" s="322"/>
      <c r="D1017" s="1017"/>
      <c r="E1017" s="296"/>
      <c r="F1017" s="296"/>
      <c r="G1017" s="572"/>
      <c r="H1017" s="404"/>
      <c r="I1017" s="404"/>
    </row>
    <row r="1018" spans="1:9" ht="14.25" customHeight="1">
      <c r="A1018" s="413"/>
      <c r="B1018" s="950" t="s">
        <v>1533</v>
      </c>
      <c r="C1018" s="322"/>
      <c r="D1018" s="1552" t="s">
        <v>1863</v>
      </c>
      <c r="E1018" s="1552"/>
      <c r="F1018" s="1552"/>
      <c r="G1018" s="477"/>
      <c r="H1018" s="480"/>
      <c r="I1018" s="480"/>
    </row>
    <row r="1019" spans="1:9" ht="13.2">
      <c r="A1019" s="355"/>
      <c r="B1019" s="355"/>
      <c r="C1019" s="322"/>
      <c r="D1019" s="1552"/>
      <c r="E1019" s="1552"/>
      <c r="F1019" s="1552"/>
      <c r="G1019" s="477"/>
      <c r="H1019" s="480"/>
      <c r="I1019" s="480"/>
    </row>
    <row r="1020" spans="1:9" ht="13.2">
      <c r="A1020" s="355"/>
      <c r="B1020" s="355"/>
      <c r="C1020" s="322"/>
      <c r="D1020" s="1552"/>
      <c r="E1020" s="1552"/>
      <c r="F1020" s="1552"/>
      <c r="G1020" s="477"/>
      <c r="H1020" s="480"/>
      <c r="I1020" s="480"/>
    </row>
    <row r="1021" spans="1:9" ht="12" customHeight="1">
      <c r="A1021" s="355"/>
      <c r="B1021" s="355"/>
      <c r="C1021" s="322"/>
      <c r="D1021" s="480"/>
      <c r="E1021" s="480"/>
      <c r="F1021" s="480"/>
      <c r="G1021" s="480"/>
      <c r="H1021" s="480"/>
      <c r="I1021" s="480"/>
    </row>
    <row r="1022" spans="1:9" ht="12.75" customHeight="1">
      <c r="A1022" s="355"/>
      <c r="B1022" s="950" t="s">
        <v>136</v>
      </c>
      <c r="C1022" s="322"/>
      <c r="D1022" s="1552" t="s">
        <v>1862</v>
      </c>
      <c r="E1022" s="1552"/>
      <c r="F1022" s="1552"/>
      <c r="G1022" s="480"/>
      <c r="H1022" s="404"/>
      <c r="I1022" s="404"/>
    </row>
    <row r="1023" spans="1:9" ht="13.2">
      <c r="A1023" s="355"/>
      <c r="B1023" s="355"/>
      <c r="C1023" s="322"/>
      <c r="D1023" s="1552"/>
      <c r="E1023" s="1552"/>
      <c r="F1023" s="1552"/>
      <c r="G1023" s="480"/>
      <c r="H1023" s="404"/>
      <c r="I1023" s="404"/>
    </row>
    <row r="1024" spans="1:9" ht="13.2">
      <c r="A1024" s="355"/>
      <c r="B1024" s="355"/>
      <c r="C1024" s="322"/>
      <c r="D1024" s="1552"/>
      <c r="E1024" s="1552"/>
      <c r="F1024" s="1552"/>
      <c r="G1024" s="480"/>
      <c r="H1024" s="404"/>
      <c r="I1024" s="404"/>
    </row>
    <row r="1025" spans="1:9" ht="12" customHeight="1">
      <c r="A1025" s="355"/>
      <c r="B1025" s="355"/>
      <c r="C1025" s="322"/>
      <c r="D1025" s="287"/>
      <c r="E1025" s="296"/>
      <c r="F1025" s="296"/>
      <c r="G1025" s="572"/>
      <c r="H1025" s="404"/>
      <c r="I1025" s="404"/>
    </row>
    <row r="1026" spans="1:9" ht="12.75" customHeight="1">
      <c r="A1026" s="355"/>
      <c r="B1026" s="950" t="s">
        <v>136</v>
      </c>
      <c r="C1026" s="322"/>
      <c r="D1026" s="1553" t="s">
        <v>1864</v>
      </c>
      <c r="E1026" s="1553"/>
      <c r="F1026" s="1553"/>
      <c r="G1026" s="564"/>
      <c r="H1026" s="404"/>
      <c r="I1026" s="404"/>
    </row>
    <row r="1027" spans="1:9" ht="13.2">
      <c r="A1027" s="355"/>
      <c r="B1027" s="355"/>
      <c r="C1027" s="322"/>
      <c r="D1027" s="1553"/>
      <c r="E1027" s="1553"/>
      <c r="F1027" s="1553"/>
      <c r="G1027" s="564"/>
      <c r="H1027" s="404"/>
      <c r="I1027" s="404"/>
    </row>
    <row r="1028" spans="1:9" ht="13.2">
      <c r="A1028" s="355"/>
      <c r="B1028" s="355"/>
      <c r="C1028" s="322"/>
      <c r="D1028" s="1553"/>
      <c r="E1028" s="1553"/>
      <c r="F1028" s="1553"/>
      <c r="G1028" s="564"/>
      <c r="H1028" s="404"/>
      <c r="I1028" s="404"/>
    </row>
    <row r="1029" spans="1:9" ht="12" customHeight="1">
      <c r="A1029" s="355"/>
      <c r="B1029" s="355"/>
      <c r="C1029" s="322"/>
      <c r="D1029" s="296"/>
      <c r="E1029" s="296"/>
      <c r="F1029" s="296"/>
      <c r="G1029" s="572"/>
      <c r="H1029" s="404"/>
      <c r="I1029" s="404"/>
    </row>
    <row r="1030" spans="1:9" ht="12.75" customHeight="1">
      <c r="A1030" s="355"/>
      <c r="B1030" s="950" t="s">
        <v>136</v>
      </c>
      <c r="C1030" s="322"/>
      <c r="D1030" s="1552" t="s">
        <v>1865</v>
      </c>
      <c r="E1030" s="1552"/>
      <c r="F1030" s="1552"/>
      <c r="G1030" s="564"/>
      <c r="H1030" s="564"/>
      <c r="I1030" s="564"/>
    </row>
    <row r="1031" spans="1:9" ht="13.2">
      <c r="A1031" s="355"/>
      <c r="B1031" s="355"/>
      <c r="C1031" s="322"/>
      <c r="D1031" s="1552"/>
      <c r="E1031" s="1552"/>
      <c r="F1031" s="1552"/>
      <c r="G1031" s="564"/>
      <c r="H1031" s="564"/>
      <c r="I1031" s="564"/>
    </row>
    <row r="1032" spans="1:9" ht="13.2">
      <c r="A1032" s="355"/>
      <c r="B1032" s="355"/>
      <c r="C1032" s="322"/>
      <c r="D1032" s="1552"/>
      <c r="E1032" s="1552"/>
      <c r="F1032" s="1552"/>
      <c r="G1032" s="564"/>
      <c r="H1032" s="564"/>
      <c r="I1032" s="564"/>
    </row>
    <row r="1033" spans="1:9" ht="14.4">
      <c r="A1033" s="413"/>
      <c r="B1033" s="413"/>
      <c r="C1033" s="322"/>
      <c r="D1033" s="287"/>
      <c r="E1033" s="296"/>
      <c r="F1033" s="296"/>
      <c r="G1033" s="572"/>
      <c r="H1033" s="404"/>
      <c r="I1033" s="404"/>
    </row>
    <row r="1034" spans="1:9" ht="12.75" customHeight="1">
      <c r="A1034" s="355"/>
      <c r="B1034" s="950" t="s">
        <v>136</v>
      </c>
      <c r="C1034" s="322"/>
      <c r="D1034" s="1552" t="s">
        <v>1866</v>
      </c>
      <c r="E1034" s="1552"/>
      <c r="F1034" s="1552"/>
      <c r="G1034" s="564"/>
      <c r="H1034" s="564"/>
      <c r="I1034" s="564"/>
    </row>
    <row r="1035" spans="1:9" ht="13.2">
      <c r="A1035" s="355"/>
      <c r="B1035" s="355"/>
      <c r="C1035" s="322"/>
      <c r="D1035" s="1552"/>
      <c r="E1035" s="1552"/>
      <c r="F1035" s="1552"/>
      <c r="G1035" s="564"/>
      <c r="H1035" s="564"/>
      <c r="I1035" s="564"/>
    </row>
    <row r="1036" spans="1:9" ht="13.2">
      <c r="A1036" s="355"/>
      <c r="B1036" s="355"/>
      <c r="C1036" s="322"/>
      <c r="D1036" s="1552"/>
      <c r="E1036" s="1552"/>
      <c r="F1036" s="1552"/>
      <c r="G1036" s="564"/>
      <c r="H1036" s="564"/>
      <c r="I1036" s="564"/>
    </row>
    <row r="1037" spans="1:9" ht="13.2">
      <c r="A1037" s="355"/>
      <c r="B1037" s="355"/>
      <c r="C1037" s="322"/>
      <c r="D1037" s="287"/>
      <c r="E1037" s="296"/>
      <c r="F1037" s="296"/>
      <c r="G1037" s="572"/>
      <c r="H1037" s="404"/>
      <c r="I1037" s="404"/>
    </row>
    <row r="1038" spans="1:9" ht="12.75" customHeight="1">
      <c r="A1038" s="355"/>
      <c r="B1038" s="950" t="s">
        <v>136</v>
      </c>
      <c r="C1038" s="322"/>
      <c r="D1038" s="1552" t="s">
        <v>1662</v>
      </c>
      <c r="E1038" s="1552"/>
      <c r="F1038" s="1552"/>
      <c r="G1038" s="477"/>
      <c r="H1038" s="404"/>
      <c r="I1038" s="404"/>
    </row>
    <row r="1039" spans="1:9" ht="13.2">
      <c r="A1039" s="355"/>
      <c r="B1039" s="355"/>
      <c r="C1039" s="322"/>
      <c r="D1039" s="1552"/>
      <c r="E1039" s="1552"/>
      <c r="F1039" s="1552"/>
      <c r="G1039" s="477"/>
      <c r="H1039" s="404"/>
      <c r="I1039" s="404"/>
    </row>
    <row r="1040" spans="1:9" ht="13.2">
      <c r="A1040" s="355"/>
      <c r="B1040" s="355"/>
      <c r="C1040" s="322"/>
      <c r="D1040" s="1552"/>
      <c r="E1040" s="1552"/>
      <c r="F1040" s="1552"/>
      <c r="G1040" s="477"/>
      <c r="H1040" s="404"/>
      <c r="I1040" s="404"/>
    </row>
    <row r="1041" spans="1:9" ht="13.2">
      <c r="A1041" s="355"/>
      <c r="B1041" s="355"/>
      <c r="C1041" s="322"/>
      <c r="D1041" s="477"/>
      <c r="E1041" s="477"/>
      <c r="F1041" s="477"/>
      <c r="G1041" s="477"/>
      <c r="H1041" s="404"/>
      <c r="I1041" s="404"/>
    </row>
    <row r="1042" spans="1:9" ht="12.75" customHeight="1">
      <c r="A1042" s="355"/>
      <c r="B1042" s="950" t="s">
        <v>136</v>
      </c>
      <c r="C1042" s="322"/>
      <c r="D1042" s="1552" t="s">
        <v>1663</v>
      </c>
      <c r="E1042" s="1552"/>
      <c r="F1042" s="1552"/>
      <c r="G1042" s="477"/>
      <c r="H1042" s="404"/>
      <c r="I1042" s="404"/>
    </row>
    <row r="1043" spans="1:9" ht="13.2">
      <c r="A1043" s="355"/>
      <c r="B1043" s="355"/>
      <c r="C1043" s="322"/>
      <c r="D1043" s="1552"/>
      <c r="E1043" s="1552"/>
      <c r="F1043" s="1552"/>
      <c r="G1043" s="477"/>
      <c r="H1043" s="404"/>
      <c r="I1043" s="404"/>
    </row>
    <row r="1044" spans="1:9" ht="13.2">
      <c r="A1044" s="355"/>
      <c r="B1044" s="355"/>
      <c r="C1044" s="322"/>
      <c r="D1044" s="1552"/>
      <c r="E1044" s="1552"/>
      <c r="F1044" s="1552"/>
      <c r="G1044" s="477"/>
      <c r="H1044" s="404"/>
      <c r="I1044" s="404"/>
    </row>
    <row r="1045" spans="1:9" ht="13.2">
      <c r="A1045" s="355"/>
      <c r="B1045" s="355"/>
      <c r="C1045" s="322"/>
      <c r="D1045" s="483"/>
      <c r="E1045" s="483"/>
      <c r="F1045" s="483"/>
      <c r="G1045" s="510"/>
      <c r="H1045" s="404"/>
      <c r="I1045" s="404"/>
    </row>
    <row r="1046" spans="1:9" ht="12.75" customHeight="1">
      <c r="A1046" s="579"/>
      <c r="B1046" s="950" t="s">
        <v>1533</v>
      </c>
      <c r="C1046" s="405"/>
      <c r="D1046" s="1615" t="s">
        <v>1247</v>
      </c>
      <c r="E1046" s="1615"/>
      <c r="F1046" s="1615"/>
      <c r="G1046" s="948"/>
      <c r="H1046" s="404"/>
      <c r="I1046" s="404"/>
    </row>
    <row r="1047" spans="1:9" ht="13.2">
      <c r="A1047" s="579"/>
      <c r="B1047" s="579"/>
      <c r="C1047" s="405"/>
      <c r="D1047" s="1615"/>
      <c r="E1047" s="1615"/>
      <c r="F1047" s="1615"/>
      <c r="G1047" s="948"/>
      <c r="H1047" s="404"/>
      <c r="I1047" s="404"/>
    </row>
    <row r="1048" spans="1:9" ht="13.2">
      <c r="A1048" s="579"/>
      <c r="B1048" s="579"/>
      <c r="C1048" s="405"/>
      <c r="D1048" s="1615"/>
      <c r="E1048" s="1615"/>
      <c r="F1048" s="1615"/>
      <c r="G1048" s="948"/>
      <c r="H1048" s="404"/>
      <c r="I1048" s="404"/>
    </row>
    <row r="1049" spans="1:9" ht="13.2">
      <c r="A1049" s="579"/>
      <c r="B1049" s="579"/>
      <c r="C1049" s="405"/>
      <c r="D1049" s="1615"/>
      <c r="E1049" s="1615"/>
      <c r="F1049" s="1615"/>
      <c r="G1049" s="948"/>
      <c r="H1049" s="404"/>
      <c r="I1049" s="404"/>
    </row>
    <row r="1050" spans="1:9" ht="13.2">
      <c r="A1050" s="579"/>
      <c r="B1050" s="579"/>
      <c r="C1050" s="405"/>
      <c r="D1050" s="1615"/>
      <c r="E1050" s="1615"/>
      <c r="F1050" s="1615"/>
      <c r="G1050" s="948"/>
      <c r="H1050" s="404"/>
      <c r="I1050" s="404"/>
    </row>
    <row r="1051" spans="1:9" ht="13.2">
      <c r="A1051" s="579"/>
      <c r="B1051" s="579"/>
      <c r="C1051" s="405"/>
      <c r="D1051" s="1615"/>
      <c r="E1051" s="1615"/>
      <c r="F1051" s="1615"/>
      <c r="G1051" s="948"/>
      <c r="H1051" s="404"/>
      <c r="I1051" s="404"/>
    </row>
    <row r="1052" spans="1:9" ht="13.2">
      <c r="A1052" s="579"/>
      <c r="B1052" s="579"/>
      <c r="C1052" s="405"/>
      <c r="D1052" s="1615"/>
      <c r="E1052" s="1615"/>
      <c r="F1052" s="1615"/>
      <c r="G1052" s="948"/>
      <c r="H1052" s="404"/>
      <c r="I1052" s="404"/>
    </row>
    <row r="1053" spans="1:9" ht="13.2">
      <c r="A1053" s="579"/>
      <c r="B1053" s="579"/>
      <c r="C1053" s="405"/>
      <c r="D1053" s="1615"/>
      <c r="E1053" s="1615"/>
      <c r="F1053" s="1615"/>
      <c r="G1053" s="948"/>
      <c r="H1053" s="404"/>
      <c r="I1053" s="404"/>
    </row>
    <row r="1054" spans="1:9" ht="13.2">
      <c r="A1054" s="579"/>
      <c r="B1054" s="579"/>
      <c r="C1054" s="405"/>
      <c r="D1054" s="1615"/>
      <c r="E1054" s="1615"/>
      <c r="F1054" s="1615"/>
      <c r="G1054" s="948"/>
      <c r="H1054" s="404"/>
      <c r="I1054" s="404"/>
    </row>
    <row r="1055" spans="1:9" ht="13.2">
      <c r="A1055" s="579"/>
      <c r="B1055" s="579"/>
      <c r="C1055" s="405"/>
      <c r="D1055" s="1615"/>
      <c r="E1055" s="1615"/>
      <c r="F1055" s="1615"/>
      <c r="G1055" s="948"/>
      <c r="H1055" s="404"/>
      <c r="I1055" s="404"/>
    </row>
    <row r="1056" spans="1:9" ht="27.6" customHeight="1">
      <c r="A1056" s="579"/>
      <c r="B1056" s="579"/>
      <c r="C1056" s="405"/>
      <c r="D1056" s="1615"/>
      <c r="E1056" s="1615"/>
      <c r="F1056" s="1615"/>
      <c r="G1056" s="948"/>
      <c r="H1056" s="404"/>
      <c r="I1056" s="404"/>
    </row>
    <row r="1057" spans="1:9" ht="13.2">
      <c r="A1057" s="579"/>
      <c r="B1057" s="579"/>
      <c r="C1057" s="405"/>
      <c r="D1057" s="664"/>
      <c r="E1057" s="664"/>
      <c r="F1057" s="664"/>
      <c r="G1057" s="664"/>
      <c r="H1057" s="404"/>
      <c r="I1057" s="404"/>
    </row>
    <row r="1058" spans="1:9" ht="12.75" customHeight="1">
      <c r="A1058" s="355"/>
      <c r="B1058" s="355"/>
      <c r="C1058" s="322"/>
      <c r="D1058" s="1547" t="s">
        <v>1664</v>
      </c>
      <c r="E1058" s="1547"/>
      <c r="F1058" s="1547"/>
      <c r="G1058" s="664"/>
      <c r="H1058" s="404"/>
      <c r="I1058" s="404"/>
    </row>
    <row r="1059" spans="1:9" ht="12.75" customHeight="1">
      <c r="A1059" s="355"/>
      <c r="B1059" s="355"/>
      <c r="C1059" s="322"/>
      <c r="D1059" s="1017"/>
      <c r="E1059" s="1014"/>
      <c r="F1059" s="1014"/>
      <c r="G1059" s="664"/>
      <c r="H1059" s="404"/>
      <c r="I1059" s="404"/>
    </row>
    <row r="1060" spans="1:9" ht="14.4">
      <c r="A1060" s="413"/>
      <c r="B1060" s="950" t="s">
        <v>1533</v>
      </c>
      <c r="C1060" s="322"/>
      <c r="D1060" s="1543" t="s">
        <v>1867</v>
      </c>
      <c r="E1060" s="1543"/>
      <c r="F1060" s="1543"/>
      <c r="G1060" s="572"/>
      <c r="H1060" s="404"/>
      <c r="I1060" s="404"/>
    </row>
    <row r="1061" spans="1:9" ht="13.2">
      <c r="A1061" s="355"/>
      <c r="B1061" s="355"/>
      <c r="C1061" s="322"/>
      <c r="D1061" s="1543"/>
      <c r="E1061" s="1543"/>
      <c r="F1061" s="1543"/>
      <c r="G1061" s="572"/>
      <c r="H1061" s="404"/>
      <c r="I1061" s="404"/>
    </row>
    <row r="1062" spans="1:9" ht="13.2">
      <c r="A1062" s="355"/>
      <c r="B1062" s="355"/>
      <c r="C1062" s="322"/>
      <c r="D1062" s="1543"/>
      <c r="E1062" s="1543"/>
      <c r="F1062" s="1543"/>
      <c r="G1062" s="572"/>
      <c r="H1062" s="404"/>
      <c r="I1062" s="404"/>
    </row>
    <row r="1063" spans="1:9" ht="13.2">
      <c r="A1063" s="355"/>
      <c r="B1063" s="355"/>
      <c r="C1063" s="322"/>
      <c r="D1063" s="1543"/>
      <c r="E1063" s="1543"/>
      <c r="F1063" s="1543"/>
      <c r="G1063" s="572"/>
      <c r="H1063" s="404"/>
      <c r="I1063" s="404"/>
    </row>
    <row r="1064" spans="1:9" ht="13.2">
      <c r="A1064" s="355"/>
      <c r="B1064" s="355"/>
      <c r="C1064" s="322"/>
      <c r="D1064" s="296"/>
      <c r="E1064" s="296"/>
      <c r="F1064" s="296"/>
      <c r="G1064" s="572"/>
      <c r="H1064" s="404"/>
      <c r="I1064" s="404"/>
    </row>
    <row r="1065" spans="1:9" ht="14.4">
      <c r="A1065" s="413"/>
      <c r="B1065" s="950" t="s">
        <v>136</v>
      </c>
      <c r="C1065" s="322"/>
      <c r="D1065" s="1543" t="s">
        <v>1868</v>
      </c>
      <c r="E1065" s="1543"/>
      <c r="F1065" s="1543"/>
      <c r="G1065" s="572"/>
      <c r="H1065" s="404"/>
      <c r="I1065" s="404"/>
    </row>
    <row r="1066" spans="1:9" ht="13.2">
      <c r="A1066" s="355"/>
      <c r="B1066" s="355"/>
      <c r="C1066" s="322"/>
      <c r="D1066" s="1543"/>
      <c r="E1066" s="1543"/>
      <c r="F1066" s="1543"/>
      <c r="G1066" s="572"/>
      <c r="H1066" s="404"/>
      <c r="I1066" s="404"/>
    </row>
    <row r="1067" spans="1:9" ht="13.2">
      <c r="A1067" s="355"/>
      <c r="B1067" s="355"/>
      <c r="C1067" s="322"/>
      <c r="D1067" s="1543"/>
      <c r="E1067" s="1543"/>
      <c r="F1067" s="1543"/>
      <c r="G1067" s="572"/>
      <c r="H1067" s="404"/>
      <c r="I1067" s="404"/>
    </row>
    <row r="1068" spans="1:9" ht="13.2">
      <c r="A1068" s="355"/>
      <c r="B1068" s="355"/>
      <c r="C1068" s="322"/>
      <c r="D1068" s="1543"/>
      <c r="E1068" s="1543"/>
      <c r="F1068" s="1543"/>
      <c r="G1068" s="572"/>
      <c r="H1068" s="404"/>
      <c r="I1068" s="404"/>
    </row>
    <row r="1069" spans="1:9" ht="13.2">
      <c r="A1069" s="355"/>
      <c r="B1069" s="355"/>
      <c r="C1069" s="322"/>
      <c r="D1069" s="296"/>
      <c r="E1069" s="296"/>
      <c r="F1069" s="296"/>
      <c r="G1069" s="572"/>
    </row>
    <row r="1070" spans="1:9" ht="13.2">
      <c r="A1070" s="355"/>
      <c r="B1070" s="950" t="s">
        <v>136</v>
      </c>
      <c r="C1070" s="322"/>
      <c r="D1070" s="1603" t="s">
        <v>1869</v>
      </c>
      <c r="E1070" s="1603"/>
      <c r="F1070" s="1603"/>
      <c r="G1070" s="572"/>
    </row>
    <row r="1071" spans="1:9" ht="13.2">
      <c r="A1071" s="355"/>
      <c r="B1071" s="355"/>
      <c r="C1071" s="322"/>
      <c r="D1071" s="1603"/>
      <c r="E1071" s="1603"/>
      <c r="F1071" s="1603"/>
      <c r="G1071" s="572"/>
    </row>
    <row r="1072" spans="1:9" ht="13.2">
      <c r="A1072" s="355"/>
      <c r="B1072" s="355"/>
      <c r="C1072" s="322"/>
      <c r="D1072" s="1603"/>
      <c r="E1072" s="1603"/>
      <c r="F1072" s="1603"/>
      <c r="G1072" s="572"/>
    </row>
    <row r="1073" spans="1:7" ht="13.2">
      <c r="A1073" s="355"/>
      <c r="B1073" s="355"/>
      <c r="C1073" s="322"/>
      <c r="D1073" s="296"/>
      <c r="E1073" s="296"/>
      <c r="F1073" s="296"/>
      <c r="G1073" s="572"/>
    </row>
    <row r="1074" spans="1:7" ht="14.4">
      <c r="A1074" s="413"/>
      <c r="B1074" s="950" t="s">
        <v>136</v>
      </c>
      <c r="C1074" s="680"/>
      <c r="D1074" s="1604" t="s">
        <v>1870</v>
      </c>
      <c r="E1074" s="1604"/>
      <c r="F1074" s="1604"/>
      <c r="G1074" s="712"/>
    </row>
    <row r="1075" spans="1:7" ht="13.2">
      <c r="A1075" s="679"/>
      <c r="B1075" s="679"/>
      <c r="C1075" s="680"/>
      <c r="D1075" s="1604"/>
      <c r="E1075" s="1604"/>
      <c r="F1075" s="1604"/>
      <c r="G1075" s="712"/>
    </row>
    <row r="1076" spans="1:7" ht="13.2">
      <c r="A1076" s="679"/>
      <c r="B1076" s="679"/>
      <c r="C1076" s="680"/>
      <c r="D1076" s="1604"/>
      <c r="E1076" s="1604"/>
      <c r="F1076" s="1604"/>
      <c r="G1076" s="712"/>
    </row>
    <row r="1077" spans="1:7" ht="13.2">
      <c r="A1077" s="355"/>
      <c r="B1077" s="355"/>
      <c r="C1077" s="322"/>
      <c r="D1077" s="296"/>
      <c r="E1077" s="296"/>
      <c r="F1077" s="296"/>
      <c r="G1077" s="572"/>
    </row>
    <row r="1078" spans="1:7" ht="13.2">
      <c r="A1078" s="14"/>
      <c r="B1078" s="14"/>
      <c r="C1078" s="322"/>
      <c r="D1078" s="1547" t="s">
        <v>1665</v>
      </c>
      <c r="E1078" s="1547"/>
      <c r="F1078" s="1547"/>
      <c r="G1078" s="572"/>
    </row>
    <row r="1079" spans="1:7" ht="13.2">
      <c r="A1079" s="14"/>
      <c r="B1079" s="14"/>
      <c r="C1079" s="322"/>
      <c r="D1079" s="1017"/>
      <c r="E1079" s="296"/>
      <c r="F1079" s="296"/>
      <c r="G1079" s="572"/>
    </row>
    <row r="1080" spans="1:7" ht="13.2">
      <c r="A1080" s="355"/>
      <c r="B1080" s="950" t="s">
        <v>136</v>
      </c>
      <c r="C1080" s="322"/>
      <c r="D1080" s="1548" t="s">
        <v>1871</v>
      </c>
      <c r="E1080" s="1548"/>
      <c r="F1080" s="1548"/>
      <c r="G1080" s="572"/>
    </row>
    <row r="1081" spans="1:7" ht="13.2">
      <c r="A1081" s="355"/>
      <c r="B1081" s="355"/>
      <c r="C1081" s="322"/>
      <c r="D1081" s="1548"/>
      <c r="E1081" s="1548"/>
      <c r="F1081" s="1548"/>
      <c r="G1081" s="572"/>
    </row>
    <row r="1082" spans="1:7" ht="13.2">
      <c r="A1082" s="355"/>
      <c r="B1082" s="355"/>
      <c r="C1082" s="322"/>
      <c r="D1082" s="1548"/>
      <c r="E1082" s="1548"/>
      <c r="F1082" s="1548"/>
      <c r="G1082" s="572"/>
    </row>
    <row r="1083" spans="1:7" ht="13.2">
      <c r="A1083" s="355"/>
      <c r="B1083" s="355"/>
      <c r="C1083" s="322"/>
      <c r="D1083" s="572"/>
      <c r="E1083" s="296"/>
      <c r="F1083" s="296"/>
      <c r="G1083" s="572"/>
    </row>
    <row r="1084" spans="1:7" ht="14.4">
      <c r="A1084" s="413"/>
      <c r="B1084" s="950" t="s">
        <v>136</v>
      </c>
      <c r="C1084" s="322"/>
      <c r="D1084" s="1548" t="s">
        <v>1872</v>
      </c>
      <c r="E1084" s="1548"/>
      <c r="F1084" s="1548"/>
      <c r="G1084" s="572"/>
    </row>
    <row r="1085" spans="1:7" ht="13.2">
      <c r="A1085" s="355"/>
      <c r="B1085" s="355"/>
      <c r="C1085" s="322"/>
      <c r="D1085" s="1548"/>
      <c r="E1085" s="1548"/>
      <c r="F1085" s="1548"/>
      <c r="G1085" s="572"/>
    </row>
    <row r="1086" spans="1:7" ht="13.2">
      <c r="A1086" s="355"/>
      <c r="B1086" s="355"/>
      <c r="C1086" s="322"/>
      <c r="D1086" s="1548"/>
      <c r="E1086" s="1548"/>
      <c r="F1086" s="1548"/>
      <c r="G1086" s="572"/>
    </row>
    <row r="1087" spans="1:7" ht="13.2">
      <c r="A1087" s="355"/>
      <c r="B1087" s="355"/>
      <c r="C1087" s="322"/>
      <c r="D1087" s="296"/>
      <c r="E1087" s="296"/>
      <c r="F1087" s="296"/>
      <c r="G1087" s="572"/>
    </row>
    <row r="1088" spans="1:7" ht="13.2">
      <c r="A1088" s="355"/>
      <c r="B1088" s="355"/>
      <c r="C1088" s="322"/>
      <c r="D1088" s="1547" t="s">
        <v>1238</v>
      </c>
      <c r="E1088" s="1547"/>
      <c r="F1088" s="1547"/>
      <c r="G1088" s="572"/>
    </row>
    <row r="1089" spans="1:7" ht="13.2">
      <c r="A1089" s="355"/>
      <c r="B1089" s="355"/>
      <c r="C1089" s="322"/>
      <c r="D1089" s="1544" t="s">
        <v>1666</v>
      </c>
      <c r="E1089" s="1544"/>
      <c r="F1089" s="1544"/>
      <c r="G1089" s="572"/>
    </row>
    <row r="1090" spans="1:7" ht="13.2">
      <c r="A1090" s="355"/>
      <c r="B1090" s="355"/>
      <c r="C1090" s="322"/>
      <c r="D1090" s="1018"/>
      <c r="E1090" s="296"/>
      <c r="F1090" s="296"/>
      <c r="G1090" s="572"/>
    </row>
    <row r="1091" spans="1:7" ht="14.4">
      <c r="A1091" s="413"/>
      <c r="B1091" s="950" t="s">
        <v>136</v>
      </c>
      <c r="C1091" s="322"/>
      <c r="D1091" s="1543" t="s">
        <v>1873</v>
      </c>
      <c r="E1091" s="1543"/>
      <c r="F1091" s="1543"/>
      <c r="G1091" s="572"/>
    </row>
    <row r="1092" spans="1:7" ht="13.2">
      <c r="A1092" s="355"/>
      <c r="B1092" s="355"/>
      <c r="C1092" s="322"/>
      <c r="D1092" s="1543"/>
      <c r="E1092" s="1543"/>
      <c r="F1092" s="1543"/>
      <c r="G1092" s="572"/>
    </row>
    <row r="1093" spans="1:7" ht="13.2">
      <c r="A1093" s="355"/>
      <c r="B1093" s="355"/>
      <c r="C1093" s="322"/>
      <c r="D1093" s="296"/>
      <c r="E1093" s="296"/>
      <c r="F1093" s="296"/>
      <c r="G1093" s="572"/>
    </row>
    <row r="1094" spans="1:7" ht="14.4">
      <c r="A1094" s="413"/>
      <c r="B1094" s="950" t="s">
        <v>136</v>
      </c>
      <c r="C1094" s="322"/>
      <c r="D1094" s="1543" t="s">
        <v>1874</v>
      </c>
      <c r="E1094" s="1543"/>
      <c r="F1094" s="1543"/>
      <c r="G1094" s="572"/>
    </row>
    <row r="1095" spans="1:7" ht="13.2">
      <c r="A1095" s="355"/>
      <c r="B1095" s="355"/>
      <c r="C1095" s="322"/>
      <c r="D1095" s="1543"/>
      <c r="E1095" s="1543"/>
      <c r="F1095" s="1543"/>
      <c r="G1095" s="572"/>
    </row>
    <row r="1096" spans="1:7" ht="13.2">
      <c r="A1096" s="355"/>
      <c r="B1096" s="355"/>
      <c r="C1096" s="322"/>
      <c r="D1096" s="282"/>
      <c r="E1096" s="296"/>
      <c r="F1096" s="296"/>
      <c r="G1096" s="572"/>
    </row>
    <row r="1097" spans="1:7" ht="13.2">
      <c r="A1097" s="355"/>
      <c r="B1097" s="355"/>
      <c r="C1097" s="322"/>
      <c r="D1097" s="1547" t="s">
        <v>1667</v>
      </c>
      <c r="E1097" s="1547"/>
      <c r="F1097" s="1547"/>
      <c r="G1097" s="572"/>
    </row>
    <row r="1098" spans="1:7" ht="13.2">
      <c r="A1098" s="355"/>
      <c r="B1098" s="355"/>
      <c r="C1098" s="322"/>
      <c r="D1098" s="1017"/>
      <c r="E1098" s="296"/>
      <c r="F1098" s="296"/>
      <c r="G1098" s="572"/>
    </row>
    <row r="1099" spans="1:7" ht="14.4">
      <c r="A1099" s="413"/>
      <c r="B1099" s="950" t="s">
        <v>136</v>
      </c>
      <c r="C1099" s="322"/>
      <c r="D1099" s="1543" t="s">
        <v>1875</v>
      </c>
      <c r="E1099" s="1543"/>
      <c r="F1099" s="1543"/>
      <c r="G1099" s="572"/>
    </row>
    <row r="1100" spans="1:7" ht="13.2">
      <c r="A1100" s="355"/>
      <c r="B1100" s="355"/>
      <c r="C1100" s="322"/>
      <c r="D1100" s="1543"/>
      <c r="E1100" s="1543"/>
      <c r="F1100" s="1543"/>
      <c r="G1100" s="572"/>
    </row>
    <row r="1101" spans="1:7" ht="13.2">
      <c r="A1101" s="355"/>
      <c r="B1101" s="355"/>
      <c r="C1101" s="322"/>
      <c r="D1101" s="1543"/>
      <c r="E1101" s="1543"/>
      <c r="F1101" s="1543"/>
      <c r="G1101" s="572"/>
    </row>
    <row r="1102" spans="1:7" ht="13.2">
      <c r="A1102" s="355"/>
      <c r="B1102" s="355"/>
      <c r="C1102" s="322"/>
      <c r="D1102" s="1543"/>
      <c r="E1102" s="1543"/>
      <c r="F1102" s="1543"/>
      <c r="G1102" s="572"/>
    </row>
    <row r="1103" spans="1:7" ht="13.2">
      <c r="A1103" s="355"/>
      <c r="B1103" s="355"/>
      <c r="C1103" s="322"/>
      <c r="D1103" s="1543"/>
      <c r="E1103" s="1543"/>
      <c r="F1103" s="1543"/>
      <c r="G1103" s="572"/>
    </row>
    <row r="1104" spans="1:7" ht="13.2">
      <c r="A1104" s="355"/>
      <c r="B1104" s="355"/>
      <c r="C1104" s="322"/>
      <c r="D1104" s="1543"/>
      <c r="E1104" s="1543"/>
      <c r="F1104" s="1543"/>
      <c r="G1104" s="572"/>
    </row>
    <row r="1105" spans="1:7" ht="13.2">
      <c r="A1105" s="355"/>
      <c r="B1105" s="355"/>
      <c r="C1105" s="322"/>
      <c r="D1105" s="1543"/>
      <c r="E1105" s="1543"/>
      <c r="F1105" s="1543"/>
      <c r="G1105" s="572"/>
    </row>
    <row r="1106" spans="1:7" ht="13.2">
      <c r="A1106" s="355"/>
      <c r="B1106" s="355"/>
      <c r="C1106" s="322"/>
      <c r="D1106" s="296"/>
      <c r="E1106" s="296"/>
      <c r="F1106" s="296"/>
      <c r="G1106" s="572"/>
    </row>
    <row r="1107" spans="1:7" ht="14.4">
      <c r="A1107" s="413"/>
      <c r="B1107" s="950" t="s">
        <v>136</v>
      </c>
      <c r="C1107" s="322"/>
      <c r="D1107" s="1543" t="s">
        <v>1876</v>
      </c>
      <c r="E1107" s="1543"/>
      <c r="F1107" s="1543"/>
      <c r="G1107" s="572"/>
    </row>
    <row r="1108" spans="1:7" ht="13.2">
      <c r="A1108" s="355"/>
      <c r="B1108" s="355"/>
      <c r="C1108" s="322"/>
      <c r="D1108" s="1543"/>
      <c r="E1108" s="1543"/>
      <c r="F1108" s="1543"/>
      <c r="G1108" s="572"/>
    </row>
    <row r="1109" spans="1:7" ht="13.2">
      <c r="A1109" s="355"/>
      <c r="B1109" s="355"/>
      <c r="C1109" s="322"/>
      <c r="D1109" s="1543"/>
      <c r="E1109" s="1543"/>
      <c r="F1109" s="1543"/>
      <c r="G1109" s="572"/>
    </row>
    <row r="1110" spans="1:7" ht="13.2">
      <c r="A1110" s="355"/>
      <c r="B1110" s="355"/>
      <c r="C1110" s="322"/>
      <c r="D1110" s="1543"/>
      <c r="E1110" s="1543"/>
      <c r="F1110" s="1543"/>
      <c r="G1110" s="572"/>
    </row>
    <row r="1111" spans="1:7" ht="13.2">
      <c r="A1111" s="355"/>
      <c r="B1111" s="355"/>
      <c r="C1111" s="322"/>
      <c r="D1111" s="1543"/>
      <c r="E1111" s="1543"/>
      <c r="F1111" s="1543"/>
      <c r="G1111" s="572"/>
    </row>
    <row r="1112" spans="1:7" ht="13.2">
      <c r="A1112" s="355"/>
      <c r="B1112" s="355"/>
      <c r="C1112" s="322"/>
      <c r="D1112" s="1543"/>
      <c r="E1112" s="1543"/>
      <c r="F1112" s="1543"/>
      <c r="G1112" s="572"/>
    </row>
    <row r="1113" spans="1:7" ht="13.2">
      <c r="A1113" s="355"/>
      <c r="B1113" s="355"/>
      <c r="C1113" s="322"/>
      <c r="D1113" s="1543"/>
      <c r="E1113" s="1543"/>
      <c r="F1113" s="1543"/>
      <c r="G1113" s="572"/>
    </row>
    <row r="1114" spans="1:7" ht="13.2">
      <c r="A1114" s="355"/>
      <c r="B1114" s="355"/>
      <c r="C1114" s="322"/>
      <c r="D1114" s="1132"/>
      <c r="E1114" s="1132"/>
      <c r="F1114" s="1132"/>
      <c r="G1114" s="572"/>
    </row>
    <row r="1115" spans="1:7" ht="12.6" customHeight="1">
      <c r="A1115" s="355"/>
      <c r="B1115" s="1134" t="s">
        <v>136</v>
      </c>
      <c r="C1115" s="322"/>
      <c r="D1115" s="1605" t="s">
        <v>2006</v>
      </c>
      <c r="E1115" s="1603"/>
      <c r="F1115" s="1603"/>
      <c r="G1115" s="572"/>
    </row>
    <row r="1116" spans="1:7" ht="12.6" customHeight="1">
      <c r="A1116" s="355"/>
      <c r="B1116" s="355"/>
      <c r="C1116" s="322"/>
      <c r="D1116" s="1603"/>
      <c r="E1116" s="1603"/>
      <c r="F1116" s="1603"/>
      <c r="G1116" s="572"/>
    </row>
    <row r="1117" spans="1:7" ht="13.2">
      <c r="A1117" s="355"/>
      <c r="B1117" s="355"/>
      <c r="C1117" s="322"/>
      <c r="D1117" s="1603"/>
      <c r="E1117" s="1603"/>
      <c r="F1117" s="1603"/>
      <c r="G1117" s="572"/>
    </row>
    <row r="1118" spans="1:7" ht="13.2">
      <c r="A1118" s="355"/>
      <c r="B1118" s="355"/>
      <c r="C1118" s="322"/>
      <c r="D1118" s="1133"/>
      <c r="E1118" s="1133"/>
      <c r="F1118" s="1133"/>
      <c r="G1118" s="572"/>
    </row>
    <row r="1119" spans="1:7" ht="13.2">
      <c r="A1119" s="140"/>
      <c r="B1119" s="140"/>
      <c r="C1119" s="14"/>
      <c r="D1119" s="1547" t="s">
        <v>1668</v>
      </c>
      <c r="E1119" s="1547"/>
      <c r="F1119" s="1547"/>
    </row>
    <row r="1120" spans="1:7" ht="13.2">
      <c r="A1120" s="1022"/>
      <c r="B1120" s="1022"/>
      <c r="C1120" s="14"/>
      <c r="D1120" s="1017"/>
      <c r="E1120" s="282"/>
      <c r="F1120" s="282"/>
    </row>
    <row r="1121" spans="1:7" ht="14.4">
      <c r="A1121" s="413"/>
      <c r="B1121" s="950" t="s">
        <v>1533</v>
      </c>
      <c r="C1121" s="14"/>
      <c r="D1121" s="1548" t="s">
        <v>1877</v>
      </c>
      <c r="E1121" s="1548"/>
      <c r="F1121" s="1548"/>
    </row>
    <row r="1122" spans="1:7" ht="13.2">
      <c r="A1122" s="140"/>
      <c r="B1122" s="140"/>
      <c r="C1122" s="14"/>
      <c r="D1122" s="1548"/>
      <c r="E1122" s="1548"/>
      <c r="F1122" s="1548"/>
    </row>
    <row r="1123" spans="1:7" ht="13.2">
      <c r="A1123" s="140"/>
      <c r="B1123" s="140"/>
      <c r="C1123" s="14"/>
      <c r="E1123" s="282"/>
      <c r="F1123" s="282"/>
    </row>
    <row r="1124" spans="1:7" ht="14.4">
      <c r="A1124" s="413"/>
      <c r="B1124" s="950" t="s">
        <v>136</v>
      </c>
      <c r="C1124" s="14"/>
      <c r="D1124" s="1548" t="s">
        <v>1878</v>
      </c>
      <c r="E1124" s="1548"/>
      <c r="F1124" s="1548"/>
    </row>
    <row r="1125" spans="1:7" ht="13.2">
      <c r="A1125" s="140"/>
      <c r="B1125" s="140"/>
      <c r="C1125" s="14"/>
      <c r="D1125" s="1548"/>
      <c r="E1125" s="1548"/>
      <c r="F1125" s="1548"/>
    </row>
    <row r="1126" spans="1:7" ht="13.2">
      <c r="A1126" s="140"/>
      <c r="B1126" s="140"/>
      <c r="C1126" s="14"/>
      <c r="D1126" s="282"/>
      <c r="E1126" s="282"/>
      <c r="F1126" s="282"/>
    </row>
    <row r="1127" spans="1:7" ht="13.2">
      <c r="A1127" s="140"/>
      <c r="B1127" s="140"/>
      <c r="C1127" s="14"/>
      <c r="D1127" s="1547" t="s">
        <v>1669</v>
      </c>
      <c r="E1127" s="1547"/>
      <c r="F1127" s="1547"/>
    </row>
    <row r="1128" spans="1:7" ht="13.2">
      <c r="A1128" s="1022"/>
      <c r="B1128" s="1022"/>
      <c r="C1128" s="14"/>
      <c r="D1128" s="1017"/>
      <c r="E1128" s="282"/>
      <c r="F1128" s="282"/>
    </row>
    <row r="1129" spans="1:7" ht="14.4">
      <c r="A1129" s="413"/>
      <c r="B1129" s="950" t="s">
        <v>136</v>
      </c>
      <c r="C1129" s="14"/>
      <c r="D1129" s="1544" t="s">
        <v>1879</v>
      </c>
      <c r="E1129" s="1544"/>
      <c r="F1129" s="1544"/>
    </row>
    <row r="1130" spans="1:7" ht="13.2">
      <c r="A1130" s="140"/>
      <c r="B1130" s="140"/>
      <c r="C1130" s="14"/>
      <c r="D1130" s="282"/>
      <c r="E1130" s="282"/>
      <c r="F1130" s="282"/>
    </row>
    <row r="1131" spans="1:7" ht="14.4">
      <c r="A1131" s="413"/>
      <c r="B1131" s="950" t="s">
        <v>136</v>
      </c>
      <c r="C1131" s="14"/>
      <c r="D1131" s="1543" t="s">
        <v>1880</v>
      </c>
      <c r="E1131" s="1543"/>
      <c r="F1131" s="1543"/>
    </row>
    <row r="1132" spans="1:7" ht="14.4">
      <c r="A1132" s="413"/>
      <c r="B1132" s="413"/>
      <c r="C1132" s="14"/>
      <c r="D1132" s="1543"/>
      <c r="E1132" s="1543"/>
      <c r="F1132" s="1543"/>
    </row>
    <row r="1133" spans="1:7" ht="14.4">
      <c r="A1133" s="413"/>
      <c r="B1133" s="413"/>
      <c r="C1133" s="14"/>
      <c r="D1133" s="1026"/>
      <c r="E1133" s="1026"/>
      <c r="F1133" s="1026"/>
      <c r="G1133" s="2"/>
    </row>
    <row r="1134" spans="1:7" ht="13.2">
      <c r="A1134" s="1028"/>
      <c r="B1134" s="1028"/>
      <c r="C1134" s="14"/>
      <c r="D1134" s="1547" t="s">
        <v>1890</v>
      </c>
      <c r="E1134" s="1547"/>
      <c r="F1134" s="1547"/>
      <c r="G1134" s="2"/>
    </row>
    <row r="1135" spans="1:7" ht="13.2">
      <c r="A1135" s="1028"/>
      <c r="B1135" s="1028"/>
      <c r="C1135" s="14"/>
      <c r="D1135" s="1027"/>
      <c r="E1135" s="282"/>
      <c r="F1135" s="282"/>
      <c r="G1135" s="2"/>
    </row>
    <row r="1136" spans="1:7" ht="14.4" customHeight="1">
      <c r="A1136" s="413"/>
      <c r="B1136" s="1029" t="s">
        <v>136</v>
      </c>
      <c r="C1136" s="14"/>
      <c r="D1136" s="1550" t="s">
        <v>1986</v>
      </c>
      <c r="E1136" s="1543"/>
      <c r="F1136" s="1543"/>
      <c r="G1136" s="2"/>
    </row>
    <row r="1137" spans="1:7" ht="14.4">
      <c r="A1137" s="413"/>
      <c r="B1137" s="413"/>
      <c r="C1137" s="14"/>
      <c r="D1137" s="1543"/>
      <c r="E1137" s="1543"/>
      <c r="F1137" s="1543"/>
      <c r="G1137" s="2"/>
    </row>
    <row r="1138" spans="1:7" ht="14.4">
      <c r="A1138" s="413"/>
      <c r="B1138" s="413"/>
      <c r="C1138" s="14"/>
      <c r="D1138" s="1543"/>
      <c r="E1138" s="1543"/>
      <c r="F1138" s="1543"/>
      <c r="G1138" s="2"/>
    </row>
    <row r="1139" spans="1:7" ht="14.4">
      <c r="A1139" s="413"/>
      <c r="B1139" s="413"/>
      <c r="C1139" s="14"/>
      <c r="D1139" s="1543"/>
      <c r="E1139" s="1543"/>
      <c r="F1139" s="1543"/>
      <c r="G1139" s="2"/>
    </row>
    <row r="1140" spans="1:7" ht="14.4">
      <c r="A1140" s="413"/>
      <c r="B1140" s="413"/>
      <c r="C1140" s="14"/>
      <c r="D1140" s="1543"/>
      <c r="E1140" s="1543"/>
      <c r="F1140" s="1543"/>
      <c r="G1140" s="2"/>
    </row>
    <row r="1141" spans="1:7" ht="14.4">
      <c r="A1141" s="413"/>
      <c r="B1141" s="413"/>
      <c r="C1141" s="14"/>
      <c r="D1141" s="1543"/>
      <c r="E1141" s="1543"/>
      <c r="F1141" s="1543"/>
      <c r="G1141" s="2"/>
    </row>
    <row r="1142" spans="1:7" ht="14.4">
      <c r="A1142" s="413"/>
      <c r="B1142" s="413"/>
      <c r="C1142" s="14"/>
      <c r="D1142" s="1543"/>
      <c r="E1142" s="1543"/>
      <c r="F1142" s="1543"/>
      <c r="G1142" s="2"/>
    </row>
    <row r="1143" spans="1:7" ht="14.4">
      <c r="A1143" s="413"/>
      <c r="B1143" s="413"/>
      <c r="C1143" s="14"/>
      <c r="D1143" s="1543"/>
      <c r="E1143" s="1543"/>
      <c r="F1143" s="1543"/>
      <c r="G1143" s="2"/>
    </row>
    <row r="1144" spans="1:7" ht="14.4">
      <c r="A1144" s="413"/>
      <c r="B1144" s="413"/>
      <c r="C1144" s="14"/>
      <c r="D1144" s="1543"/>
      <c r="E1144" s="1543"/>
      <c r="F1144" s="1543"/>
      <c r="G1144" s="2"/>
    </row>
    <row r="1145" spans="1:7" ht="14.4">
      <c r="A1145" s="413"/>
      <c r="B1145" s="413"/>
      <c r="C1145" s="14"/>
      <c r="D1145" s="1543"/>
      <c r="E1145" s="1543"/>
      <c r="F1145" s="1543"/>
      <c r="G1145" s="2"/>
    </row>
    <row r="1146" spans="1:7" ht="14.4">
      <c r="A1146" s="413"/>
      <c r="B1146" s="413"/>
      <c r="C1146" s="14"/>
      <c r="D1146" s="1543"/>
      <c r="E1146" s="1543"/>
      <c r="F1146" s="1543"/>
      <c r="G1146" s="2"/>
    </row>
    <row r="1147" spans="1:7" ht="14.4">
      <c r="A1147" s="413"/>
      <c r="B1147" s="413"/>
      <c r="C1147" s="14"/>
      <c r="D1147" s="1543"/>
      <c r="E1147" s="1543"/>
      <c r="F1147" s="1543"/>
      <c r="G1147" s="2"/>
    </row>
    <row r="1148" spans="1:7" ht="14.4">
      <c r="A1148" s="413"/>
      <c r="B1148" s="413"/>
      <c r="C1148" s="14"/>
      <c r="D1148" s="1543"/>
      <c r="E1148" s="1543"/>
      <c r="F1148" s="1543"/>
      <c r="G1148" s="2"/>
    </row>
    <row r="1149" spans="1:7" ht="14.4">
      <c r="A1149" s="413"/>
      <c r="B1149" s="413"/>
      <c r="C1149" s="14"/>
      <c r="D1149" s="1543"/>
      <c r="E1149" s="1543"/>
      <c r="F1149" s="1543"/>
    </row>
    <row r="1150" spans="1:7" ht="13.2">
      <c r="A1150" s="140"/>
      <c r="B1150" s="140"/>
      <c r="C1150" s="14"/>
      <c r="D1150" s="282"/>
      <c r="E1150" s="282"/>
      <c r="F1150" s="282"/>
    </row>
    <row r="1151" spans="1:7" ht="13.2">
      <c r="A1151" s="1595" t="s">
        <v>1562</v>
      </c>
      <c r="B1151" s="1595"/>
      <c r="C1151" s="1595"/>
      <c r="D1151" s="1595"/>
      <c r="E1151" s="1595"/>
      <c r="F1151" s="1595"/>
      <c r="G1151" s="1595"/>
    </row>
    <row r="1152" spans="1:7" ht="13.2">
      <c r="A1152" s="143"/>
      <c r="B1152" s="143"/>
      <c r="C1152" s="14"/>
      <c r="D1152" s="282"/>
      <c r="E1152" s="282"/>
      <c r="F1152" s="282"/>
    </row>
    <row r="1153" spans="1:7" ht="13.2">
      <c r="A1153" s="140"/>
      <c r="B1153" s="140"/>
      <c r="C1153" s="322"/>
      <c r="D1153" s="1547" t="s">
        <v>1881</v>
      </c>
      <c r="E1153" s="1547"/>
      <c r="F1153" s="1547"/>
    </row>
    <row r="1154" spans="1:7" ht="13.2">
      <c r="A1154" s="414"/>
      <c r="B1154" s="414"/>
      <c r="C1154" s="298"/>
      <c r="D1154" s="1549" t="s">
        <v>1673</v>
      </c>
      <c r="E1154" s="1544"/>
      <c r="F1154" s="1544"/>
    </row>
    <row r="1155" spans="1:7" ht="13.2">
      <c r="A1155" s="414"/>
      <c r="B1155" s="414"/>
      <c r="C1155" s="298"/>
      <c r="D1155" s="282"/>
      <c r="E1155" s="282"/>
      <c r="F1155" s="296"/>
      <c r="G1155" s="2"/>
    </row>
    <row r="1156" spans="1:7" ht="13.65" customHeight="1">
      <c r="A1156" s="140"/>
      <c r="B1156" s="950" t="s">
        <v>1533</v>
      </c>
      <c r="C1156" s="14"/>
      <c r="D1156" s="1572" t="s">
        <v>1987</v>
      </c>
      <c r="E1156" s="1572"/>
      <c r="F1156" s="1572"/>
      <c r="G1156" s="2"/>
    </row>
    <row r="1157" spans="1:7" ht="13.2">
      <c r="A1157" s="140"/>
      <c r="B1157" s="140"/>
      <c r="C1157" s="14"/>
      <c r="D1157" s="1572"/>
      <c r="E1157" s="1572"/>
      <c r="F1157" s="1572"/>
      <c r="G1157" s="2"/>
    </row>
    <row r="1158" spans="1:7" ht="13.2">
      <c r="A1158" s="140"/>
      <c r="B1158" s="140"/>
      <c r="C1158" s="14"/>
      <c r="D1158" s="1572"/>
      <c r="E1158" s="1572"/>
      <c r="F1158" s="1572"/>
      <c r="G1158" s="2"/>
    </row>
    <row r="1159" spans="1:7" ht="13.2">
      <c r="A1159" s="150"/>
      <c r="B1159" s="150"/>
      <c r="D1159" s="1572"/>
      <c r="E1159" s="1572"/>
      <c r="F1159" s="1572"/>
      <c r="G1159" s="2"/>
    </row>
    <row r="1160" spans="1:7" ht="13.2">
      <c r="A1160" s="150"/>
      <c r="B1160" s="150"/>
      <c r="D1160" s="1572"/>
      <c r="E1160" s="1572"/>
      <c r="F1160" s="1572"/>
      <c r="G1160" s="2"/>
    </row>
    <row r="1161" spans="1:7" ht="13.2">
      <c r="A1161" s="415"/>
      <c r="B1161" s="415"/>
      <c r="C1161" s="299"/>
      <c r="D1161" s="1572"/>
      <c r="E1161" s="1572"/>
      <c r="F1161" s="1572"/>
      <c r="G1161" s="2"/>
    </row>
    <row r="1162" spans="1:7" ht="14.4" customHeight="1">
      <c r="A1162" s="415"/>
      <c r="B1162" s="415"/>
      <c r="C1162" s="299"/>
      <c r="D1162" s="1572"/>
      <c r="E1162" s="1572"/>
      <c r="F1162" s="1572"/>
      <c r="G1162" s="2"/>
    </row>
    <row r="1163" spans="1:7" ht="13.2">
      <c r="A1163" s="415"/>
      <c r="B1163" s="415"/>
      <c r="C1163" s="299"/>
      <c r="D1163" s="1016"/>
      <c r="E1163" s="1016"/>
      <c r="F1163" s="1016"/>
      <c r="G1163" s="2"/>
    </row>
    <row r="1164" spans="1:7" ht="13.2">
      <c r="A1164" s="415"/>
      <c r="B1164" s="1033" t="s">
        <v>1533</v>
      </c>
      <c r="C1164" s="299"/>
      <c r="D1164" s="1548" t="s">
        <v>1891</v>
      </c>
      <c r="E1164" s="1548"/>
      <c r="F1164" s="1548"/>
      <c r="G1164" s="2"/>
    </row>
    <row r="1165" spans="1:7" ht="13.2">
      <c r="A1165" s="415"/>
      <c r="B1165" s="415"/>
      <c r="C1165" s="299"/>
      <c r="D1165" s="1548"/>
      <c r="E1165" s="1548"/>
      <c r="F1165" s="1548"/>
      <c r="G1165" s="2"/>
    </row>
    <row r="1166" spans="1:7" ht="13.2">
      <c r="A1166" s="415"/>
      <c r="B1166" s="415"/>
      <c r="C1166" s="299"/>
      <c r="D1166" s="1548"/>
      <c r="E1166" s="1548"/>
      <c r="F1166" s="1548"/>
      <c r="G1166" s="2"/>
    </row>
    <row r="1167" spans="1:7" ht="13.2">
      <c r="A1167" s="415"/>
      <c r="B1167" s="415"/>
      <c r="C1167" s="299"/>
      <c r="D1167" s="1548"/>
      <c r="E1167" s="1548"/>
      <c r="F1167" s="1548"/>
      <c r="G1167" s="2"/>
    </row>
    <row r="1168" spans="1:7" ht="13.2">
      <c r="A1168" s="415"/>
      <c r="B1168" s="415"/>
      <c r="C1168" s="299"/>
      <c r="D1168" s="1102"/>
      <c r="E1168" s="1102"/>
      <c r="F1168" s="1102"/>
      <c r="G1168" s="2"/>
    </row>
    <row r="1169" spans="1:7" ht="13.2">
      <c r="A1169" s="415"/>
      <c r="B1169" s="1103" t="s">
        <v>136</v>
      </c>
      <c r="C1169" s="299"/>
      <c r="D1169" s="1551" t="s">
        <v>1988</v>
      </c>
      <c r="E1169" s="1548"/>
      <c r="F1169" s="1548"/>
      <c r="G1169" s="2"/>
    </row>
    <row r="1170" spans="1:7" ht="13.2">
      <c r="A1170" s="415"/>
      <c r="B1170" s="415"/>
      <c r="C1170" s="299"/>
      <c r="D1170" s="1548"/>
      <c r="E1170" s="1548"/>
      <c r="F1170" s="1548"/>
      <c r="G1170" s="2"/>
    </row>
    <row r="1171" spans="1:7" ht="13.2">
      <c r="A1171" s="415"/>
      <c r="B1171" s="415"/>
      <c r="C1171" s="299"/>
      <c r="D1171" s="1102"/>
      <c r="E1171" s="1102"/>
      <c r="F1171" s="1102"/>
      <c r="G1171" s="2"/>
    </row>
    <row r="1172" spans="1:7" ht="14.4">
      <c r="A1172" s="413"/>
      <c r="B1172" s="950" t="s">
        <v>1533</v>
      </c>
      <c r="C1172" s="14"/>
      <c r="D1172" s="1544" t="s">
        <v>1882</v>
      </c>
      <c r="E1172" s="1544"/>
      <c r="F1172" s="1544"/>
      <c r="G1172" s="2"/>
    </row>
    <row r="1173" spans="1:7" ht="13.2">
      <c r="A1173" s="140"/>
      <c r="B1173" s="140"/>
      <c r="C1173" s="14"/>
      <c r="D1173" s="282"/>
      <c r="E1173" s="282"/>
      <c r="F1173" s="282"/>
      <c r="G1173" s="2"/>
    </row>
    <row r="1174" spans="1:7" ht="14.4">
      <c r="A1174" s="413"/>
      <c r="B1174" s="950" t="s">
        <v>136</v>
      </c>
      <c r="C1174" s="14"/>
      <c r="D1174" s="1544" t="s">
        <v>1883</v>
      </c>
      <c r="E1174" s="1544"/>
      <c r="F1174" s="1544"/>
      <c r="G1174" s="2"/>
    </row>
    <row r="1175" spans="1:7" ht="13.2">
      <c r="A1175" s="140"/>
      <c r="B1175" s="140"/>
      <c r="C1175" s="14"/>
      <c r="D1175" s="287"/>
      <c r="E1175" s="282"/>
      <c r="F1175" s="282"/>
      <c r="G1175" s="2"/>
    </row>
    <row r="1176" spans="1:7" ht="14.4">
      <c r="A1176" s="413"/>
      <c r="B1176" s="950" t="s">
        <v>1533</v>
      </c>
      <c r="C1176" s="14"/>
      <c r="D1176" s="1544" t="s">
        <v>1884</v>
      </c>
      <c r="E1176" s="1544"/>
      <c r="F1176" s="1544"/>
      <c r="G1176" s="2"/>
    </row>
    <row r="1177" spans="1:7" ht="13.2">
      <c r="A1177" s="140"/>
      <c r="B1177" s="140"/>
      <c r="C1177" s="14"/>
      <c r="D1177" s="287"/>
      <c r="E1177" s="282"/>
      <c r="F1177" s="282"/>
      <c r="G1177" s="2"/>
    </row>
    <row r="1178" spans="1:7" ht="14.4">
      <c r="A1178" s="413"/>
      <c r="B1178" s="950" t="s">
        <v>136</v>
      </c>
      <c r="C1178" s="14"/>
      <c r="D1178" s="1543" t="s">
        <v>1885</v>
      </c>
      <c r="E1178" s="1543"/>
      <c r="F1178" s="1543"/>
      <c r="G1178" s="2"/>
    </row>
    <row r="1179" spans="1:7" ht="14.4">
      <c r="A1179" s="413"/>
      <c r="B1179" s="413"/>
      <c r="C1179" s="14"/>
      <c r="D1179" s="1543"/>
      <c r="E1179" s="1543"/>
      <c r="F1179" s="1543"/>
      <c r="G1179" s="2"/>
    </row>
    <row r="1180" spans="1:7" ht="14.4">
      <c r="A1180" s="413"/>
      <c r="B1180" s="413"/>
      <c r="C1180" s="14"/>
      <c r="D1180" s="287"/>
      <c r="E1180" s="282"/>
      <c r="F1180" s="282"/>
    </row>
    <row r="1181" spans="1:7" s="707" customFormat="1" ht="14.4">
      <c r="A1181" s="464"/>
      <c r="B1181" s="950" t="s">
        <v>136</v>
      </c>
      <c r="C1181" s="465"/>
      <c r="D1181" s="1545" t="s">
        <v>1886</v>
      </c>
      <c r="E1181" s="1545"/>
      <c r="F1181" s="1545"/>
      <c r="G1181" s="708"/>
    </row>
    <row r="1182" spans="1:7" s="707" customFormat="1" ht="13.2">
      <c r="A1182" s="465"/>
      <c r="B1182" s="465"/>
      <c r="C1182" s="465"/>
      <c r="D1182" s="1545"/>
      <c r="E1182" s="1545"/>
      <c r="F1182" s="1545"/>
      <c r="G1182" s="708"/>
    </row>
    <row r="1183" spans="1:7" s="707" customFormat="1" ht="13.2">
      <c r="A1183" s="465"/>
      <c r="B1183" s="465"/>
      <c r="C1183" s="465"/>
      <c r="D1183" s="466"/>
      <c r="E1183" s="467"/>
      <c r="F1183" s="467"/>
      <c r="G1183" s="708"/>
    </row>
    <row r="1184" spans="1:7" s="707" customFormat="1" ht="14.4">
      <c r="A1184" s="464"/>
      <c r="B1184" s="950" t="s">
        <v>136</v>
      </c>
      <c r="C1184" s="465"/>
      <c r="D1184" s="1546" t="s">
        <v>1887</v>
      </c>
      <c r="E1184" s="1546"/>
      <c r="F1184" s="1546"/>
      <c r="G1184" s="708"/>
    </row>
    <row r="1185" spans="1:7" s="707" customFormat="1" ht="13.2">
      <c r="A1185" s="465"/>
      <c r="B1185" s="465"/>
      <c r="C1185" s="465"/>
      <c r="D1185" s="466"/>
      <c r="E1185" s="467"/>
      <c r="F1185" s="467"/>
      <c r="G1185" s="708"/>
    </row>
    <row r="1186" spans="1:7" ht="14.4">
      <c r="A1186" s="413"/>
      <c r="B1186" s="950" t="s">
        <v>136</v>
      </c>
      <c r="C1186" s="14"/>
      <c r="D1186" s="1544" t="s">
        <v>1888</v>
      </c>
      <c r="E1186" s="1544"/>
      <c r="F1186" s="1544"/>
    </row>
    <row r="1187" spans="1:7" ht="14.4">
      <c r="A1187" s="413"/>
      <c r="B1187" s="413"/>
      <c r="C1187" s="14"/>
      <c r="D1187" s="287"/>
      <c r="E1187" s="282"/>
      <c r="F1187" s="282"/>
    </row>
    <row r="1188" spans="1:7" ht="14.4">
      <c r="A1188" s="413"/>
      <c r="B1188" s="950" t="s">
        <v>1533</v>
      </c>
      <c r="C1188" s="14"/>
      <c r="D1188" s="1543" t="s">
        <v>1889</v>
      </c>
      <c r="E1188" s="1543"/>
      <c r="F1188" s="1543"/>
    </row>
    <row r="1189" spans="1:7" ht="14.4">
      <c r="A1189" s="413"/>
      <c r="B1189" s="413"/>
      <c r="C1189" s="14"/>
      <c r="D1189" s="1543"/>
      <c r="E1189" s="1543"/>
      <c r="F1189" s="1543"/>
    </row>
    <row r="1190" spans="1:7" ht="13.2">
      <c r="A1190" s="140"/>
      <c r="B1190" s="140"/>
      <c r="C1190" s="14"/>
      <c r="D1190" s="282"/>
      <c r="E1190" s="282"/>
      <c r="F1190" s="282"/>
    </row>
    <row r="1191" spans="1:7" ht="13.2">
      <c r="A1191" s="1595" t="s">
        <v>2316</v>
      </c>
      <c r="B1191" s="1595"/>
      <c r="C1191" s="1595"/>
      <c r="D1191" s="1595"/>
      <c r="E1191" s="1595"/>
      <c r="F1191" s="1595"/>
      <c r="G1191" s="1595"/>
    </row>
    <row r="1192" spans="1:7" ht="13.2">
      <c r="A1192" s="140"/>
      <c r="B1192" s="140"/>
      <c r="C1192" s="14"/>
      <c r="D1192" s="282"/>
      <c r="E1192" s="282"/>
      <c r="F1192" s="282"/>
    </row>
    <row r="1193" spans="1:7" ht="13.2">
      <c r="A1193" s="1595" t="s">
        <v>1563</v>
      </c>
      <c r="B1193" s="1595"/>
      <c r="C1193" s="1595"/>
      <c r="D1193" s="1595"/>
      <c r="E1193" s="1595"/>
      <c r="F1193" s="1595"/>
      <c r="G1193" s="1595"/>
    </row>
    <row r="1194" spans="1:7" ht="13.2">
      <c r="A1194" s="140"/>
      <c r="B1194" s="140"/>
      <c r="C1194" s="14"/>
      <c r="D1194" s="282"/>
      <c r="E1194" s="282"/>
      <c r="F1194" s="282"/>
    </row>
    <row r="1195" spans="1:7" ht="13.2">
      <c r="A1195" s="150"/>
      <c r="B1195" s="150"/>
      <c r="D1195" s="1555" t="s">
        <v>1693</v>
      </c>
      <c r="E1195" s="1555"/>
      <c r="F1195" s="1555"/>
    </row>
    <row r="1196" spans="1:7" ht="13.2">
      <c r="A1196" s="150"/>
      <c r="B1196" s="150"/>
      <c r="D1196" s="1609" t="s">
        <v>2193</v>
      </c>
      <c r="E1196" s="1609"/>
      <c r="F1196" s="1609"/>
    </row>
    <row r="1197" spans="1:7" ht="13.2">
      <c r="A1197" s="430"/>
      <c r="B1197" s="430"/>
      <c r="C1197" s="406"/>
    </row>
    <row r="1198" spans="1:7" ht="14.4">
      <c r="A1198" s="413"/>
      <c r="B1198" s="413"/>
      <c r="C1198" s="299"/>
      <c r="D1198" s="1555" t="s">
        <v>1694</v>
      </c>
      <c r="E1198" s="1555"/>
      <c r="F1198" s="1555"/>
    </row>
    <row r="1199" spans="1:7" ht="13.2">
      <c r="A1199" s="140"/>
      <c r="B1199" s="950" t="s">
        <v>1533</v>
      </c>
      <c r="C1199" s="14"/>
      <c r="D1199" s="1602" t="s">
        <v>1695</v>
      </c>
      <c r="E1199" s="1602"/>
      <c r="F1199" s="1602"/>
    </row>
    <row r="1200" spans="1:7" ht="13.2">
      <c r="A1200" s="140"/>
      <c r="B1200" s="140"/>
      <c r="C1200" s="14"/>
      <c r="D1200" s="1609" t="s">
        <v>2194</v>
      </c>
      <c r="E1200" s="1609"/>
      <c r="F1200" s="1609"/>
    </row>
    <row r="1201" spans="1:7" ht="13.2">
      <c r="A1201" s="150"/>
      <c r="B1201" s="150"/>
      <c r="G1201" s="2"/>
    </row>
    <row r="1202" spans="1:7" ht="12.75" customHeight="1">
      <c r="A1202" s="150"/>
      <c r="B1202" s="1313" t="s">
        <v>136</v>
      </c>
      <c r="D1202" s="1542" t="s">
        <v>2081</v>
      </c>
      <c r="E1202" s="1542"/>
      <c r="F1202" s="1542"/>
      <c r="G1202" s="2"/>
    </row>
    <row r="1203" spans="1:7" ht="13.2">
      <c r="A1203" s="150"/>
      <c r="B1203" s="150"/>
      <c r="D1203" s="1542"/>
      <c r="E1203" s="1542"/>
      <c r="F1203" s="1542"/>
      <c r="G1203" s="2"/>
    </row>
    <row r="1204" spans="1:7" ht="13.2">
      <c r="A1204" s="150"/>
      <c r="B1204" s="150"/>
      <c r="G1204" s="2"/>
    </row>
    <row r="1205" spans="1:7" ht="12.75" customHeight="1">
      <c r="A1205" s="150"/>
      <c r="B1205" s="150"/>
    </row>
    <row r="1206" spans="1:7" ht="13.2">
      <c r="A1206" s="1601" t="s">
        <v>1565</v>
      </c>
      <c r="B1206" s="1601"/>
      <c r="C1206" s="1601"/>
      <c r="D1206" s="1601"/>
      <c r="E1206" s="1601"/>
      <c r="F1206" s="1601"/>
      <c r="G1206" s="1601"/>
    </row>
    <row r="1207" spans="1:7" ht="13.2">
      <c r="A1207" s="76"/>
      <c r="B1207" s="76"/>
      <c r="C1207" s="285"/>
      <c r="D1207" s="288"/>
      <c r="E1207" s="288"/>
      <c r="F1207" s="288"/>
      <c r="G1207" s="288"/>
    </row>
    <row r="1208" spans="1:7" ht="12.75" customHeight="1">
      <c r="A1208" s="76"/>
      <c r="B1208" s="76"/>
      <c r="C1208" s="285"/>
      <c r="D1208" s="1608" t="s">
        <v>1564</v>
      </c>
      <c r="E1208" s="1608"/>
      <c r="F1208" s="1608"/>
      <c r="G1208" s="288"/>
    </row>
    <row r="1209" spans="1:7" ht="12.75" customHeight="1">
      <c r="A1209" s="76"/>
      <c r="B1209" s="76"/>
      <c r="C1209" s="285"/>
      <c r="D1209" s="1589" t="s">
        <v>1574</v>
      </c>
      <c r="E1209" s="1589"/>
      <c r="F1209" s="1589"/>
      <c r="G1209" s="288"/>
    </row>
    <row r="1210" spans="1:7" ht="12.75" customHeight="1">
      <c r="A1210" s="76"/>
      <c r="B1210" s="76"/>
      <c r="C1210" s="285"/>
      <c r="D1210" s="288"/>
      <c r="E1210" s="288"/>
      <c r="F1210" s="288"/>
      <c r="G1210" s="288"/>
    </row>
    <row r="1211" spans="1:7" ht="14.4">
      <c r="A1211" s="413"/>
      <c r="B1211" s="950" t="s">
        <v>136</v>
      </c>
      <c r="C1211" s="14"/>
      <c r="D1211" s="1562" t="s">
        <v>1125</v>
      </c>
      <c r="E1211" s="1562"/>
      <c r="F1211" s="1562"/>
    </row>
    <row r="1212" spans="1:7" ht="13.2">
      <c r="A1212" s="140"/>
      <c r="B1212" s="140"/>
      <c r="C1212" s="14"/>
      <c r="D1212" s="1544" t="s">
        <v>1256</v>
      </c>
      <c r="E1212" s="1544"/>
      <c r="F1212" s="1544"/>
    </row>
    <row r="1213" spans="1:7" ht="13.2">
      <c r="A1213" s="140"/>
      <c r="B1213" s="140"/>
      <c r="C1213" s="14"/>
      <c r="D1213" s="282"/>
      <c r="E1213" s="1584" t="s">
        <v>1696</v>
      </c>
      <c r="F1213" s="1584"/>
    </row>
    <row r="1214" spans="1:7" ht="13.2">
      <c r="A1214" s="140"/>
      <c r="B1214" s="140"/>
      <c r="C1214" s="14"/>
      <c r="D1214" s="6"/>
      <c r="E1214" s="282"/>
      <c r="F1214" s="282"/>
    </row>
    <row r="1215" spans="1:7" ht="13.2">
      <c r="A1215" s="140"/>
      <c r="B1215" s="140"/>
      <c r="C1215" s="14"/>
      <c r="D1215" s="1607" t="s">
        <v>1409</v>
      </c>
      <c r="E1215" s="1607"/>
      <c r="F1215" s="1607"/>
    </row>
    <row r="1216" spans="1:7" ht="13.2">
      <c r="A1216" s="140"/>
      <c r="B1216" s="950" t="s">
        <v>136</v>
      </c>
      <c r="C1216" s="140"/>
      <c r="D1216" s="1543" t="s">
        <v>1697</v>
      </c>
      <c r="E1216" s="1543"/>
      <c r="F1216" s="1543"/>
      <c r="G1216" s="2"/>
    </row>
    <row r="1217" spans="1:7" ht="13.2">
      <c r="A1217" s="140"/>
      <c r="B1217" s="140"/>
      <c r="C1217" s="14"/>
      <c r="D1217" s="1543"/>
      <c r="E1217" s="1543"/>
      <c r="F1217" s="1543"/>
      <c r="G1217" s="2"/>
    </row>
    <row r="1218" spans="1:7" ht="13.2">
      <c r="A1218" s="140"/>
      <c r="B1218" s="140"/>
      <c r="C1218" s="14"/>
      <c r="D1218" s="810" t="s">
        <v>1412</v>
      </c>
      <c r="E1218" s="2"/>
      <c r="F1218" s="2"/>
      <c r="G1218" s="2"/>
    </row>
    <row r="1219" spans="1:7" ht="13.65" customHeight="1">
      <c r="A1219" s="140"/>
      <c r="B1219" s="140"/>
      <c r="C1219" s="14"/>
      <c r="D1219" s="1543" t="s">
        <v>1698</v>
      </c>
      <c r="E1219" s="1543"/>
      <c r="F1219" s="1543"/>
      <c r="G1219" s="2"/>
    </row>
    <row r="1220" spans="1:7" ht="13.2">
      <c r="A1220" s="140"/>
      <c r="B1220" s="140"/>
      <c r="C1220" s="14"/>
      <c r="D1220" s="1543"/>
      <c r="E1220" s="1543"/>
      <c r="F1220" s="1543"/>
      <c r="G1220" s="2"/>
    </row>
    <row r="1221" spans="1:7" ht="13.2">
      <c r="A1221" s="140"/>
      <c r="B1221" s="140"/>
      <c r="C1221" s="14"/>
      <c r="D1221" s="1543"/>
      <c r="E1221" s="1543"/>
      <c r="F1221" s="1543"/>
      <c r="G1221" s="2"/>
    </row>
    <row r="1222" spans="1:7" ht="13.2">
      <c r="A1222" s="140"/>
      <c r="B1222" s="140"/>
      <c r="C1222" s="14"/>
      <c r="D1222" s="1543"/>
      <c r="E1222" s="1543"/>
      <c r="F1222" s="1543"/>
      <c r="G1222" s="2"/>
    </row>
    <row r="1223" spans="1:7" ht="13.2">
      <c r="A1223" s="140"/>
      <c r="B1223" s="140"/>
      <c r="C1223" s="14"/>
      <c r="D1223" s="1584" t="s">
        <v>1128</v>
      </c>
      <c r="E1223" s="1584"/>
      <c r="F1223" s="1584"/>
      <c r="G1223" s="2"/>
    </row>
    <row r="1224" spans="1:7" ht="13.2">
      <c r="A1224" s="140"/>
      <c r="B1224" s="950" t="s">
        <v>136</v>
      </c>
      <c r="C1224" s="140"/>
      <c r="D1224" s="1562" t="s">
        <v>1410</v>
      </c>
      <c r="E1224" s="1562"/>
      <c r="F1224" s="1562"/>
      <c r="G1224" s="2"/>
    </row>
    <row r="1225" spans="1:7" ht="13.2">
      <c r="A1225" s="140"/>
      <c r="B1225" s="140"/>
      <c r="C1225" s="14"/>
      <c r="D1225" s="282"/>
      <c r="E1225" s="2"/>
      <c r="F1225" s="2"/>
      <c r="G1225" s="2"/>
    </row>
    <row r="1226" spans="1:7" ht="13.2">
      <c r="A1226" s="140"/>
      <c r="B1226" s="140"/>
      <c r="C1226" s="14"/>
      <c r="D1226" s="1610" t="s">
        <v>1411</v>
      </c>
      <c r="E1226" s="1610"/>
      <c r="F1226" s="1610"/>
      <c r="G1226" s="2"/>
    </row>
    <row r="1227" spans="1:7" ht="13.2">
      <c r="A1227" s="140"/>
      <c r="B1227" s="140"/>
      <c r="C1227" s="14"/>
      <c r="D1227" s="6" t="s">
        <v>1126</v>
      </c>
      <c r="E1227" s="2"/>
      <c r="F1227" s="2"/>
      <c r="G1227" s="2"/>
    </row>
    <row r="1228" spans="1:7" ht="14.4" customHeight="1">
      <c r="A1228" s="413"/>
      <c r="B1228" s="950" t="s">
        <v>136</v>
      </c>
      <c r="C1228" s="140"/>
      <c r="D1228" s="1543" t="s">
        <v>1699</v>
      </c>
      <c r="E1228" s="1543"/>
      <c r="F1228" s="1543"/>
      <c r="G1228" s="2"/>
    </row>
    <row r="1229" spans="1:7" ht="14.4">
      <c r="A1229" s="413"/>
      <c r="B1229" s="413"/>
      <c r="C1229" s="140"/>
      <c r="D1229" s="1543"/>
      <c r="E1229" s="1543"/>
      <c r="F1229" s="1543"/>
      <c r="G1229" s="2"/>
    </row>
    <row r="1230" spans="1:7" ht="14.4">
      <c r="A1230" s="413"/>
      <c r="B1230" s="413"/>
      <c r="C1230" s="140"/>
      <c r="D1230" s="1543"/>
      <c r="E1230" s="1543"/>
      <c r="F1230" s="1543"/>
      <c r="G1230" s="2"/>
    </row>
    <row r="1231" spans="1:7" ht="14.4">
      <c r="A1231" s="413"/>
      <c r="B1231" s="413"/>
      <c r="C1231" s="14"/>
      <c r="D1231" s="282"/>
      <c r="E1231" s="2"/>
      <c r="F1231" s="2"/>
      <c r="G1231" s="2"/>
    </row>
    <row r="1232" spans="1:7" ht="14.4">
      <c r="A1232" s="413"/>
      <c r="B1232" s="413"/>
      <c r="C1232" s="14"/>
      <c r="D1232" s="665" t="s">
        <v>1254</v>
      </c>
      <c r="E1232" s="665"/>
      <c r="F1232" s="665"/>
    </row>
    <row r="1233" spans="1:7" ht="14.4">
      <c r="A1233" s="413"/>
      <c r="B1233" s="950" t="s">
        <v>136</v>
      </c>
      <c r="C1233" s="14"/>
      <c r="D1233" s="1543" t="s">
        <v>1700</v>
      </c>
      <c r="E1233" s="1543"/>
      <c r="F1233" s="1543"/>
    </row>
    <row r="1234" spans="1:7" ht="14.4">
      <c r="A1234" s="413"/>
      <c r="B1234" s="413"/>
      <c r="C1234" s="14"/>
      <c r="D1234" s="1543"/>
      <c r="E1234" s="1543"/>
      <c r="F1234" s="1543"/>
    </row>
    <row r="1235" spans="1:7" ht="14.4">
      <c r="A1235" s="413"/>
      <c r="B1235" s="413"/>
      <c r="C1235" s="14"/>
      <c r="D1235" s="1543"/>
      <c r="E1235" s="1543"/>
      <c r="F1235" s="1543"/>
    </row>
    <row r="1236" spans="1:7" ht="14.4">
      <c r="A1236" s="413"/>
      <c r="B1236" s="413"/>
      <c r="C1236" s="14"/>
      <c r="D1236" s="1543"/>
      <c r="E1236" s="1543"/>
      <c r="F1236" s="1543"/>
    </row>
    <row r="1237" spans="1:7" ht="14.4">
      <c r="A1237" s="413"/>
      <c r="B1237" s="413"/>
      <c r="C1237" s="14"/>
      <c r="D1237" s="1543"/>
      <c r="E1237" s="1543"/>
      <c r="F1237" s="1543"/>
    </row>
    <row r="1238" spans="1:7" ht="12.75" customHeight="1">
      <c r="A1238" s="76"/>
      <c r="B1238" s="76"/>
      <c r="C1238" s="285"/>
      <c r="D1238" s="288"/>
      <c r="E1238" s="288"/>
      <c r="F1238" s="288"/>
      <c r="G1238" s="288"/>
    </row>
    <row r="1239" spans="1:7" ht="13.2">
      <c r="A1239" s="1601" t="s">
        <v>1608</v>
      </c>
      <c r="B1239" s="1601"/>
      <c r="C1239" s="1601"/>
      <c r="D1239" s="1601"/>
      <c r="E1239" s="1601"/>
      <c r="F1239" s="1601"/>
      <c r="G1239" s="1601"/>
    </row>
    <row r="1240" spans="1:7" ht="13.2">
      <c r="A1240" s="76"/>
      <c r="B1240" s="76"/>
      <c r="C1240" s="285"/>
      <c r="D1240" s="288"/>
      <c r="E1240" s="288"/>
      <c r="F1240" s="288"/>
      <c r="G1240" s="288"/>
    </row>
    <row r="1241" spans="1:7" ht="13.2">
      <c r="A1241" s="76"/>
      <c r="B1241" s="76"/>
      <c r="C1241" s="285"/>
      <c r="D1241" s="1613" t="s">
        <v>1609</v>
      </c>
      <c r="E1241" s="1613"/>
      <c r="F1241" s="1613"/>
      <c r="G1241" s="288"/>
    </row>
    <row r="1242" spans="1:7" ht="13.2">
      <c r="A1242" s="419"/>
      <c r="B1242" s="419"/>
      <c r="C1242" s="407"/>
      <c r="D1242" s="1614" t="s">
        <v>1626</v>
      </c>
      <c r="E1242" s="1614"/>
      <c r="F1242" s="1614"/>
      <c r="G1242" s="408"/>
    </row>
    <row r="1243" spans="1:7" ht="10.5" customHeight="1">
      <c r="A1243" s="150"/>
      <c r="B1243" s="150"/>
    </row>
    <row r="1244" spans="1:7" ht="14.4">
      <c r="A1244" s="413"/>
      <c r="B1244" s="950" t="s">
        <v>136</v>
      </c>
      <c r="D1244" s="1562" t="s">
        <v>1257</v>
      </c>
      <c r="E1244" s="1562"/>
      <c r="F1244" s="1562"/>
    </row>
    <row r="1245" spans="1:7" ht="13.2">
      <c r="A1245" s="150"/>
      <c r="B1245" s="150"/>
      <c r="D1245" s="282"/>
      <c r="E1245" s="1610" t="s">
        <v>1534</v>
      </c>
      <c r="F1245" s="1610"/>
    </row>
    <row r="1246" spans="1:7" ht="13.2">
      <c r="A1246" s="140"/>
      <c r="B1246" s="140"/>
      <c r="C1246" s="14"/>
      <c r="D1246" s="956"/>
      <c r="E1246" s="956"/>
      <c r="F1246" s="956"/>
    </row>
    <row r="1247" spans="1:7" ht="13.65" customHeight="1"/>
    <row r="1248" spans="1:7" ht="13.65" customHeight="1"/>
    <row r="1249" spans="1:7" ht="13.65" customHeight="1"/>
    <row r="1250" spans="1:7" ht="13.65" customHeight="1"/>
    <row r="1251" spans="1:7" ht="13.65" customHeight="1"/>
    <row r="1252" spans="1:7" ht="13.65" customHeight="1"/>
    <row r="1253" spans="1:7" ht="13.65" customHeight="1"/>
    <row r="1254" spans="1:7" ht="13.65" customHeight="1">
      <c r="A1254" s="2"/>
      <c r="B1254" s="2"/>
      <c r="C1254" s="2"/>
      <c r="D1254" s="2"/>
      <c r="E1254" s="2"/>
      <c r="F1254" s="2"/>
      <c r="G1254" s="2"/>
    </row>
    <row r="1255" spans="1:7" ht="13.65" customHeight="1">
      <c r="A1255" s="2"/>
      <c r="B1255" s="2"/>
      <c r="C1255" s="2"/>
      <c r="D1255" s="2"/>
      <c r="E1255" s="2"/>
      <c r="F1255" s="2"/>
      <c r="G1255" s="2"/>
    </row>
    <row r="1256" spans="1:7" ht="13.65" customHeight="1">
      <c r="A1256" s="2"/>
      <c r="B1256" s="2"/>
      <c r="C1256" s="2"/>
      <c r="D1256" s="2"/>
      <c r="E1256" s="2"/>
      <c r="F1256" s="2"/>
      <c r="G1256" s="2"/>
    </row>
    <row r="1257" spans="1:7" ht="13.65" customHeight="1">
      <c r="A1257" s="2"/>
      <c r="B1257" s="2"/>
      <c r="C1257" s="2"/>
      <c r="D1257" s="2"/>
      <c r="E1257" s="2"/>
      <c r="F1257" s="2"/>
      <c r="G1257" s="2"/>
    </row>
    <row r="1258" spans="1:7" ht="13.65" customHeight="1">
      <c r="A1258" s="2"/>
      <c r="B1258" s="2"/>
      <c r="C1258" s="2"/>
      <c r="D1258" s="2"/>
      <c r="E1258" s="2"/>
      <c r="F1258" s="2"/>
      <c r="G1258" s="2"/>
    </row>
    <row r="1259" spans="1:7" ht="13.65" customHeight="1">
      <c r="A1259" s="2"/>
      <c r="B1259" s="2"/>
      <c r="C1259" s="2"/>
      <c r="D1259" s="2"/>
      <c r="E1259" s="2"/>
      <c r="F1259" s="2"/>
      <c r="G1259" s="2"/>
    </row>
    <row r="1260" spans="1:7" ht="13.65" customHeight="1">
      <c r="A1260" s="2"/>
      <c r="B1260" s="2"/>
      <c r="C1260" s="2"/>
      <c r="D1260" s="2"/>
      <c r="E1260" s="2"/>
      <c r="F1260" s="2"/>
      <c r="G1260" s="2"/>
    </row>
    <row r="1261" spans="1:7" ht="13.65" customHeight="1">
      <c r="A1261" s="2"/>
      <c r="B1261" s="2"/>
      <c r="C1261" s="2"/>
      <c r="D1261" s="2"/>
      <c r="E1261" s="2"/>
      <c r="F1261" s="2"/>
      <c r="G1261" s="2"/>
    </row>
    <row r="1262" spans="1:7" ht="13.65" customHeight="1">
      <c r="A1262" s="2"/>
      <c r="B1262" s="2"/>
      <c r="C1262" s="2"/>
      <c r="D1262" s="2"/>
      <c r="E1262" s="2"/>
      <c r="F1262" s="2"/>
      <c r="G1262" s="2"/>
    </row>
    <row r="1263" spans="1:7" ht="13.65" customHeight="1">
      <c r="A1263" s="2"/>
      <c r="B1263" s="2"/>
      <c r="C1263" s="2"/>
      <c r="D1263" s="2"/>
      <c r="E1263" s="2"/>
      <c r="F1263" s="2"/>
      <c r="G1263" s="2"/>
    </row>
    <row r="1264" spans="1:7" ht="13.65" customHeight="1">
      <c r="A1264" s="2"/>
      <c r="B1264" s="2"/>
      <c r="C1264" s="2"/>
      <c r="D1264" s="2"/>
      <c r="E1264" s="2"/>
      <c r="F1264" s="2"/>
      <c r="G1264" s="2"/>
    </row>
    <row r="1265" spans="1:7" ht="13.65" customHeight="1">
      <c r="A1265" s="2"/>
      <c r="B1265" s="2"/>
      <c r="C1265" s="2"/>
      <c r="D1265" s="2"/>
      <c r="E1265" s="2"/>
      <c r="F1265" s="2"/>
      <c r="G1265" s="2"/>
    </row>
    <row r="1266" spans="1:7" ht="13.65" customHeight="1">
      <c r="A1266" s="2"/>
      <c r="B1266" s="2"/>
      <c r="C1266" s="2"/>
      <c r="D1266" s="2"/>
      <c r="E1266" s="2"/>
      <c r="F1266" s="2"/>
      <c r="G1266" s="2"/>
    </row>
    <row r="1267" spans="1:7" ht="13.65" customHeight="1">
      <c r="A1267" s="2"/>
      <c r="B1267" s="2"/>
      <c r="C1267" s="2"/>
      <c r="D1267" s="2"/>
      <c r="E1267" s="2"/>
      <c r="F1267" s="2"/>
      <c r="G1267" s="2"/>
    </row>
    <row r="1268" spans="1:7" ht="13.65" customHeight="1">
      <c r="A1268" s="2"/>
      <c r="B1268" s="2"/>
      <c r="C1268" s="2"/>
      <c r="D1268" s="2"/>
      <c r="E1268" s="2"/>
      <c r="F1268" s="2"/>
      <c r="G1268" s="2"/>
    </row>
    <row r="1269" spans="1:7" ht="13.65" customHeight="1">
      <c r="A1269" s="2"/>
      <c r="B1269" s="2"/>
      <c r="C1269" s="2"/>
      <c r="D1269" s="2"/>
      <c r="E1269" s="2"/>
      <c r="F1269" s="2"/>
      <c r="G1269" s="2"/>
    </row>
    <row r="1270" spans="1:7" ht="13.65" customHeight="1">
      <c r="A1270" s="2"/>
      <c r="B1270" s="2"/>
      <c r="C1270" s="2"/>
      <c r="D1270" s="2"/>
      <c r="E1270" s="2"/>
      <c r="F1270" s="2"/>
      <c r="G1270" s="2"/>
    </row>
    <row r="1271" spans="1:7" ht="13.65" customHeight="1">
      <c r="A1271" s="2"/>
      <c r="B1271" s="2"/>
      <c r="C1271" s="2"/>
      <c r="D1271" s="2"/>
      <c r="E1271" s="2"/>
      <c r="F1271" s="2"/>
      <c r="G1271" s="2"/>
    </row>
    <row r="1272" spans="1:7" ht="13.65" customHeight="1">
      <c r="A1272" s="2"/>
      <c r="B1272" s="2"/>
      <c r="C1272" s="2"/>
      <c r="D1272" s="2"/>
      <c r="E1272" s="2"/>
      <c r="F1272" s="2"/>
      <c r="G1272" s="2"/>
    </row>
    <row r="1273" spans="1:7" ht="13.65" customHeight="1">
      <c r="A1273" s="2"/>
      <c r="B1273" s="2"/>
      <c r="C1273" s="2"/>
      <c r="D1273" s="2"/>
      <c r="E1273" s="2"/>
      <c r="F1273" s="2"/>
      <c r="G1273" s="2"/>
    </row>
    <row r="1274" spans="1:7" ht="13.65" customHeight="1">
      <c r="A1274" s="2"/>
      <c r="B1274" s="2"/>
      <c r="C1274" s="2"/>
      <c r="D1274" s="2"/>
      <c r="E1274" s="2"/>
      <c r="F1274" s="2"/>
      <c r="G1274" s="2"/>
    </row>
    <row r="1275" spans="1:7" ht="13.65" customHeight="1">
      <c r="A1275" s="2"/>
      <c r="B1275" s="2"/>
      <c r="C1275" s="2"/>
      <c r="D1275" s="2"/>
      <c r="E1275" s="2"/>
      <c r="F1275" s="2"/>
      <c r="G1275" s="2"/>
    </row>
    <row r="1276" spans="1:7" ht="13.65" customHeight="1">
      <c r="A1276" s="2"/>
      <c r="B1276" s="2"/>
      <c r="C1276" s="2"/>
      <c r="D1276" s="2"/>
      <c r="E1276" s="2"/>
      <c r="F1276" s="2"/>
      <c r="G1276" s="2"/>
    </row>
    <row r="1277" spans="1:7" ht="13.65" customHeight="1">
      <c r="A1277" s="2"/>
      <c r="B1277" s="2"/>
      <c r="C1277" s="2"/>
      <c r="D1277" s="2"/>
      <c r="E1277" s="2"/>
      <c r="F1277" s="2"/>
      <c r="G1277" s="2"/>
    </row>
    <row r="1278" spans="1:7" ht="13.65" customHeight="1">
      <c r="A1278" s="2"/>
      <c r="B1278" s="2"/>
      <c r="C1278" s="2"/>
      <c r="D1278" s="2"/>
      <c r="E1278" s="2"/>
      <c r="F1278" s="2"/>
      <c r="G1278" s="2"/>
    </row>
    <row r="1279" spans="1:7" ht="13.65" customHeight="1">
      <c r="A1279" s="2"/>
      <c r="B1279" s="2"/>
      <c r="C1279" s="2"/>
      <c r="D1279" s="2"/>
      <c r="E1279" s="2"/>
      <c r="F1279" s="2"/>
      <c r="G1279" s="2"/>
    </row>
    <row r="1280" spans="1:7" ht="13.65" customHeight="1">
      <c r="A1280" s="2"/>
      <c r="B1280" s="2"/>
      <c r="C1280" s="2"/>
      <c r="D1280" s="2"/>
      <c r="E1280" s="2"/>
      <c r="F1280" s="2"/>
      <c r="G1280" s="2"/>
    </row>
    <row r="1281" ht="13.65" customHeight="1"/>
    <row r="1282" ht="13.65" customHeight="1"/>
    <row r="1283" ht="13.65" customHeight="1"/>
    <row r="1284" ht="13.65" customHeight="1"/>
    <row r="1285" ht="13.65" customHeight="1"/>
    <row r="1286" ht="13.65" customHeight="1"/>
    <row r="1287" ht="13.65" customHeight="1"/>
    <row r="1288" ht="13.65" customHeight="1"/>
    <row r="1289" ht="13.65" customHeight="1"/>
    <row r="1290" ht="13.65" customHeight="1"/>
    <row r="1291" ht="13.65" customHeight="1"/>
    <row r="1292" ht="13.65" customHeight="1"/>
    <row r="1293" ht="13.65" customHeight="1"/>
    <row r="1294" ht="13.65" customHeight="1"/>
    <row r="1295" ht="13.65" customHeight="1"/>
    <row r="1296" ht="13.65" customHeight="1"/>
    <row r="1297" ht="13.65" customHeight="1"/>
    <row r="1298" ht="13.65" customHeight="1"/>
    <row r="1299" ht="13.65" customHeight="1"/>
    <row r="1300" ht="13.65" customHeight="1"/>
    <row r="1301" ht="13.65" customHeight="1"/>
    <row r="1302" ht="13.65" customHeight="1"/>
    <row r="1303" ht="13.65" customHeight="1"/>
    <row r="1304" ht="13.65" customHeight="1"/>
    <row r="1305" ht="13.65" customHeight="1"/>
    <row r="1306" ht="13.65" customHeight="1"/>
    <row r="1307" ht="13.65" customHeight="1"/>
    <row r="1308" ht="13.65" customHeight="1"/>
    <row r="1309" ht="13.65" customHeight="1"/>
    <row r="1310" ht="13.65" customHeight="1"/>
    <row r="1311" ht="13.65" customHeight="1"/>
    <row r="1312" ht="13.65" customHeight="1"/>
    <row r="1313" ht="13.65" customHeight="1"/>
    <row r="1314" ht="13.65" customHeight="1"/>
    <row r="1315" ht="13.65" customHeight="1"/>
    <row r="1316" ht="13.65" customHeight="1"/>
    <row r="1317" ht="13.65" customHeight="1"/>
    <row r="1318" ht="13.65" customHeight="1"/>
    <row r="1319" ht="13.65" customHeight="1"/>
    <row r="1320" ht="13.65" customHeight="1"/>
    <row r="1321" ht="13.65" customHeight="1"/>
    <row r="1322" ht="13.65" customHeight="1"/>
    <row r="1323" ht="13.65" customHeight="1"/>
    <row r="1324" ht="13.65" customHeight="1"/>
    <row r="1325" ht="13.65" customHeight="1"/>
    <row r="1326" ht="13.65" customHeight="1"/>
    <row r="1327" ht="13.65" customHeight="1"/>
    <row r="1328" ht="13.65" customHeight="1"/>
    <row r="1329" ht="13.65" customHeight="1"/>
    <row r="1330" ht="13.65" customHeight="1"/>
    <row r="1331" ht="13.65" customHeight="1"/>
    <row r="1332" ht="13.65" customHeight="1"/>
    <row r="1333" ht="13.65" customHeight="1"/>
    <row r="1334" ht="13.65" customHeight="1"/>
    <row r="1335" ht="13.65" customHeight="1"/>
    <row r="1336" ht="13.65" customHeight="1"/>
    <row r="1337" ht="13.65" customHeight="1"/>
    <row r="1338" ht="13.65" customHeight="1"/>
    <row r="1339" ht="13.65" customHeight="1"/>
    <row r="1340" ht="13.65" customHeight="1"/>
    <row r="1341" ht="13.65" customHeight="1"/>
    <row r="1342" ht="13.65" customHeight="1"/>
    <row r="1343" ht="13.65" customHeight="1"/>
    <row r="1344" ht="13.65" customHeight="1"/>
    <row r="1345" ht="13.65" customHeight="1"/>
    <row r="1346" ht="13.65" customHeight="1"/>
    <row r="1347" ht="13.65" customHeight="1"/>
    <row r="1348" ht="13.65" customHeight="1"/>
    <row r="1349" ht="13.65" customHeight="1"/>
    <row r="1350" ht="13.65" customHeight="1"/>
    <row r="1351" ht="13.65" customHeight="1"/>
    <row r="1352" ht="13.65" customHeight="1"/>
    <row r="1353" ht="13.65" customHeight="1"/>
    <row r="1354" ht="13.65" customHeight="1"/>
    <row r="1355" ht="13.65" customHeight="1"/>
    <row r="1356" ht="13.65" customHeight="1"/>
    <row r="1357" ht="13.65" customHeight="1"/>
    <row r="1358" ht="13.65" customHeight="1"/>
    <row r="1359" ht="13.65" customHeight="1"/>
    <row r="1360" ht="13.65" customHeight="1"/>
    <row r="1361" ht="13.65" customHeight="1"/>
    <row r="1362" ht="13.65" customHeight="1"/>
    <row r="1363" ht="13.65" customHeight="1"/>
    <row r="1364" ht="13.65" customHeight="1"/>
    <row r="1365" ht="13.65" customHeight="1"/>
    <row r="1366" ht="13.65" customHeight="1"/>
    <row r="1367" ht="13.65" customHeight="1"/>
    <row r="1368" ht="13.65" customHeight="1"/>
    <row r="1369" ht="13.65" customHeight="1"/>
    <row r="1370" ht="13.65" customHeight="1"/>
    <row r="1371" ht="13.65" customHeight="1"/>
    <row r="1372" ht="13.65" customHeight="1"/>
    <row r="1373" ht="13.65" customHeight="1"/>
    <row r="1374" ht="13.65" customHeight="1"/>
    <row r="1375" ht="13.65" customHeight="1"/>
    <row r="1376" ht="13.65" customHeight="1"/>
    <row r="1377" ht="13.65" customHeight="1"/>
    <row r="1378" ht="13.65" customHeight="1"/>
    <row r="1379" ht="13.65" customHeight="1"/>
    <row r="1380" ht="13.65" customHeight="1"/>
    <row r="1381" ht="13.65" customHeight="1"/>
    <row r="1382" ht="13.65" customHeight="1"/>
    <row r="1383" ht="13.65" customHeight="1"/>
    <row r="1384" ht="13.65" customHeight="1"/>
    <row r="1385" ht="13.65" customHeight="1"/>
    <row r="1386" ht="13.65" customHeight="1"/>
    <row r="1387" ht="13.65" customHeight="1"/>
    <row r="1388" ht="13.65" customHeight="1"/>
    <row r="1389" ht="13.65" customHeight="1"/>
    <row r="1390" ht="13.65" customHeight="1"/>
    <row r="1391" ht="13.65" customHeight="1"/>
    <row r="1392" ht="13.65" customHeight="1"/>
    <row r="1393" ht="13.65" customHeight="1"/>
    <row r="1394" ht="13.65" customHeight="1"/>
    <row r="1395" ht="13.65" customHeight="1"/>
    <row r="1396" ht="13.65" customHeight="1"/>
    <row r="1397" ht="13.65" customHeight="1"/>
    <row r="1398" ht="13.65" customHeight="1"/>
    <row r="1399" ht="13.65" customHeight="1"/>
    <row r="1400" ht="13.65" customHeight="1"/>
    <row r="1401" ht="13.65" customHeight="1"/>
    <row r="1402" ht="13.65" customHeight="1"/>
    <row r="1403" ht="13.65" customHeight="1"/>
    <row r="1404" ht="13.65" customHeight="1"/>
    <row r="1405" ht="13.65" customHeight="1"/>
    <row r="1406" ht="13.65" customHeight="1"/>
    <row r="1407" ht="13.65" customHeight="1"/>
    <row r="1408" ht="13.65" customHeight="1"/>
    <row r="1409" ht="13.65" customHeight="1"/>
    <row r="1410" ht="13.65" customHeight="1"/>
    <row r="1411" ht="13.65" customHeight="1"/>
    <row r="1412" ht="13.65" customHeight="1"/>
    <row r="1413" ht="13.65" customHeight="1"/>
    <row r="1414" ht="13.65" customHeight="1"/>
    <row r="1415" ht="13.65" customHeight="1"/>
    <row r="1416" ht="13.65" customHeight="1"/>
    <row r="1417" ht="13.65" customHeight="1"/>
    <row r="1418" ht="13.65" customHeight="1"/>
    <row r="1419" ht="13.65" customHeight="1"/>
    <row r="1420" ht="13.65" customHeight="1"/>
    <row r="1421" ht="13.65" customHeight="1"/>
    <row r="1422" ht="13.65" customHeight="1"/>
    <row r="1423" ht="13.65" customHeight="1"/>
    <row r="1424" ht="13.65" customHeight="1"/>
    <row r="1425" ht="13.65" customHeight="1"/>
    <row r="1426" ht="13.65" customHeight="1"/>
    <row r="1427" ht="13.65" customHeight="1"/>
    <row r="1428" ht="13.65" customHeight="1"/>
    <row r="1429" ht="13.65" customHeight="1"/>
    <row r="1430" ht="13.65" customHeight="1"/>
    <row r="1431" ht="13.65" customHeight="1"/>
    <row r="1432" ht="13.65" customHeight="1"/>
    <row r="1433" ht="13.65" customHeight="1"/>
    <row r="1434" ht="13.65" customHeight="1"/>
    <row r="1435" ht="13.65" customHeight="1"/>
    <row r="1436" ht="13.65" customHeight="1"/>
    <row r="1437" ht="13.65" customHeight="1"/>
    <row r="1438" ht="13.65" customHeight="1"/>
    <row r="1439" ht="13.65" customHeight="1"/>
    <row r="1440" ht="13.65" customHeight="1"/>
    <row r="1441" ht="13.65" customHeight="1"/>
    <row r="1442" ht="13.65" customHeight="1"/>
    <row r="1443" ht="13.65" customHeight="1"/>
    <row r="1444" ht="13.65" customHeight="1"/>
    <row r="1445" ht="13.65" customHeight="1"/>
    <row r="1446" ht="13.65" customHeight="1"/>
    <row r="1447" ht="13.65" customHeight="1"/>
    <row r="1448" ht="13.65" customHeight="1"/>
    <row r="1449" ht="13.65" customHeight="1"/>
    <row r="1450" ht="13.65" customHeight="1"/>
    <row r="1451" ht="13.65" customHeight="1"/>
    <row r="1452" ht="13.65" customHeight="1"/>
    <row r="1453" ht="13.65" customHeight="1"/>
  </sheetData>
  <sheetProtection algorithmName="SHA-512" hashValue="ejMa9TtxWpEdT9+Odb9n7WMP/DT/Axe0Hgj/Qom5PxFMGnd/Prh5W2DOckg3tCpBvYPZjmvI1A6kSlogwZ7GDg==" saltValue="Tz2TIYZVT2qNsTKNMRNslQ==" spinCount="100000" sheet="1" formatColumns="0" formatRows="0"/>
  <mergeCells count="363">
    <mergeCell ref="D330:F344"/>
    <mergeCell ref="D346:F354"/>
    <mergeCell ref="D356:F361"/>
    <mergeCell ref="D412:F413"/>
    <mergeCell ref="D427:F457"/>
    <mergeCell ref="D459:F459"/>
    <mergeCell ref="D460:F460"/>
    <mergeCell ref="D461:F463"/>
    <mergeCell ref="D469:F470"/>
    <mergeCell ref="D421:F424"/>
    <mergeCell ref="D425:F425"/>
    <mergeCell ref="D415:F420"/>
    <mergeCell ref="D308:F308"/>
    <mergeCell ref="D242:F242"/>
    <mergeCell ref="D243:F243"/>
    <mergeCell ref="D510:F511"/>
    <mergeCell ref="D513:F513"/>
    <mergeCell ref="D487:F491"/>
    <mergeCell ref="D493:F493"/>
    <mergeCell ref="D497:F497"/>
    <mergeCell ref="D498:F498"/>
    <mergeCell ref="D500:F501"/>
    <mergeCell ref="D503:F506"/>
    <mergeCell ref="A495:G495"/>
    <mergeCell ref="E244:F244"/>
    <mergeCell ref="D245:F245"/>
    <mergeCell ref="D277:F279"/>
    <mergeCell ref="D280:F280"/>
    <mergeCell ref="D298:F300"/>
    <mergeCell ref="D301:F301"/>
    <mergeCell ref="D508:F508"/>
    <mergeCell ref="D379:F382"/>
    <mergeCell ref="D393:F410"/>
    <mergeCell ref="D465:F467"/>
    <mergeCell ref="D472:F486"/>
    <mergeCell ref="D384:F392"/>
    <mergeCell ref="D579:F581"/>
    <mergeCell ref="D583:F586"/>
    <mergeCell ref="D588:F588"/>
    <mergeCell ref="D328:F328"/>
    <mergeCell ref="D201:F201"/>
    <mergeCell ref="D235:F235"/>
    <mergeCell ref="D202:F202"/>
    <mergeCell ref="D366:F366"/>
    <mergeCell ref="D260:F263"/>
    <mergeCell ref="D363:F363"/>
    <mergeCell ref="D314:F316"/>
    <mergeCell ref="D318:F319"/>
    <mergeCell ref="D323:F323"/>
    <mergeCell ref="D324:F324"/>
    <mergeCell ref="D326:F326"/>
    <mergeCell ref="D309:F309"/>
    <mergeCell ref="D368:F377"/>
    <mergeCell ref="D364:F364"/>
    <mergeCell ref="D220:F220"/>
    <mergeCell ref="D222:F222"/>
    <mergeCell ref="A254:G254"/>
    <mergeCell ref="A289:G289"/>
    <mergeCell ref="A303:G303"/>
    <mergeCell ref="D237:F237"/>
    <mergeCell ref="D225:F225"/>
    <mergeCell ref="D227:F227"/>
    <mergeCell ref="D210:F215"/>
    <mergeCell ref="D217:F217"/>
    <mergeCell ref="D218:F218"/>
    <mergeCell ref="E219:F219"/>
    <mergeCell ref="D555:F557"/>
    <mergeCell ref="D559:F560"/>
    <mergeCell ref="E567:F567"/>
    <mergeCell ref="D256:F256"/>
    <mergeCell ref="D248:F250"/>
    <mergeCell ref="A321:G321"/>
    <mergeCell ref="D257:F257"/>
    <mergeCell ref="E229:F229"/>
    <mergeCell ref="D230:F234"/>
    <mergeCell ref="D291:F291"/>
    <mergeCell ref="D293:F293"/>
    <mergeCell ref="D282:F282"/>
    <mergeCell ref="D283:F283"/>
    <mergeCell ref="D286:F287"/>
    <mergeCell ref="D259:F259"/>
    <mergeCell ref="D311:F312"/>
    <mergeCell ref="D294:F296"/>
    <mergeCell ref="D305:F306"/>
    <mergeCell ref="A2:G2"/>
    <mergeCell ref="A4:G4"/>
    <mergeCell ref="A5:G5"/>
    <mergeCell ref="A7:G7"/>
    <mergeCell ref="A8:G8"/>
    <mergeCell ref="A10:G10"/>
    <mergeCell ref="D12:F13"/>
    <mergeCell ref="D14:F14"/>
    <mergeCell ref="A82:G82"/>
    <mergeCell ref="D16:F18"/>
    <mergeCell ref="D43:F47"/>
    <mergeCell ref="D49:F54"/>
    <mergeCell ref="D79:F80"/>
    <mergeCell ref="D56:F60"/>
    <mergeCell ref="D65:F66"/>
    <mergeCell ref="D68:F70"/>
    <mergeCell ref="D72:F73"/>
    <mergeCell ref="D75:F77"/>
    <mergeCell ref="D25:F29"/>
    <mergeCell ref="D61:F63"/>
    <mergeCell ref="D1241:F1241"/>
    <mergeCell ref="D1242:F1242"/>
    <mergeCell ref="D1244:F1244"/>
    <mergeCell ref="E1245:F1245"/>
    <mergeCell ref="D20:F20"/>
    <mergeCell ref="D22:F23"/>
    <mergeCell ref="D31:F32"/>
    <mergeCell ref="D34:F41"/>
    <mergeCell ref="D1038:F1040"/>
    <mergeCell ref="D1046:F1056"/>
    <mergeCell ref="A1239:G1239"/>
    <mergeCell ref="D1018:F1020"/>
    <mergeCell ref="A835:G835"/>
    <mergeCell ref="A615:G615"/>
    <mergeCell ref="A539:G539"/>
    <mergeCell ref="D767:F769"/>
    <mergeCell ref="A904:G904"/>
    <mergeCell ref="D771:F772"/>
    <mergeCell ref="D238:F238"/>
    <mergeCell ref="E239:F239"/>
    <mergeCell ref="D240:F240"/>
    <mergeCell ref="E224:F224"/>
    <mergeCell ref="D883:F884"/>
    <mergeCell ref="A199:G199"/>
    <mergeCell ref="D84:F84"/>
    <mergeCell ref="D85:F85"/>
    <mergeCell ref="D752:F752"/>
    <mergeCell ref="D753:F753"/>
    <mergeCell ref="D755:F760"/>
    <mergeCell ref="D762:F765"/>
    <mergeCell ref="A515:G515"/>
    <mergeCell ref="D681:F681"/>
    <mergeCell ref="D682:F682"/>
    <mergeCell ref="D683:F683"/>
    <mergeCell ref="A529:G529"/>
    <mergeCell ref="A591:G591"/>
    <mergeCell ref="D522:F523"/>
    <mergeCell ref="D562:F563"/>
    <mergeCell ref="D565:F565"/>
    <mergeCell ref="D566:F566"/>
    <mergeCell ref="D203:F203"/>
    <mergeCell ref="D205:F208"/>
    <mergeCell ref="D252:F252"/>
    <mergeCell ref="D223:F223"/>
    <mergeCell ref="A624:G624"/>
    <mergeCell ref="A640:G640"/>
    <mergeCell ref="A659:G659"/>
    <mergeCell ref="A679:G679"/>
    <mergeCell ref="D1228:F1230"/>
    <mergeCell ref="D1233:F1237"/>
    <mergeCell ref="D517:F520"/>
    <mergeCell ref="D525:F527"/>
    <mergeCell ref="D1211:F1211"/>
    <mergeCell ref="D1212:F1212"/>
    <mergeCell ref="E1213:F1213"/>
    <mergeCell ref="D1215:F1215"/>
    <mergeCell ref="D1216:F1217"/>
    <mergeCell ref="D1219:F1222"/>
    <mergeCell ref="D1208:F1208"/>
    <mergeCell ref="D1209:F1209"/>
    <mergeCell ref="D1195:F1195"/>
    <mergeCell ref="D1196:F1196"/>
    <mergeCell ref="D1198:F1198"/>
    <mergeCell ref="D1200:F1200"/>
    <mergeCell ref="D610:F611"/>
    <mergeCell ref="D607:F608"/>
    <mergeCell ref="D613:F613"/>
    <mergeCell ref="D627:F627"/>
    <mergeCell ref="D629:F629"/>
    <mergeCell ref="D1223:F1223"/>
    <mergeCell ref="D1224:F1224"/>
    <mergeCell ref="D1226:F1226"/>
    <mergeCell ref="A1151:G1151"/>
    <mergeCell ref="A1191:G1191"/>
    <mergeCell ref="A1193:G1193"/>
    <mergeCell ref="A1206:G1206"/>
    <mergeCell ref="D1042:F1044"/>
    <mergeCell ref="D1199:F1199"/>
    <mergeCell ref="D1060:F1063"/>
    <mergeCell ref="D1065:F1068"/>
    <mergeCell ref="D1070:F1072"/>
    <mergeCell ref="D1074:F1076"/>
    <mergeCell ref="D1078:F1078"/>
    <mergeCell ref="D1080:F1082"/>
    <mergeCell ref="D1084:F1086"/>
    <mergeCell ref="D1088:F1088"/>
    <mergeCell ref="D1089:F1089"/>
    <mergeCell ref="D1091:F1092"/>
    <mergeCell ref="D1094:F1095"/>
    <mergeCell ref="D1097:F1097"/>
    <mergeCell ref="D1099:F1105"/>
    <mergeCell ref="D1156:F1162"/>
    <mergeCell ref="D1172:F1172"/>
    <mergeCell ref="D1174:F1174"/>
    <mergeCell ref="D1115:F1117"/>
    <mergeCell ref="D87:F95"/>
    <mergeCell ref="D165:F167"/>
    <mergeCell ref="D171:F171"/>
    <mergeCell ref="D172:F172"/>
    <mergeCell ref="D174:F174"/>
    <mergeCell ref="D176:F176"/>
    <mergeCell ref="D191:F194"/>
    <mergeCell ref="D197:F197"/>
    <mergeCell ref="D195:F195"/>
    <mergeCell ref="A169:G169"/>
    <mergeCell ref="D178:F178"/>
    <mergeCell ref="E179:F182"/>
    <mergeCell ref="E183:F189"/>
    <mergeCell ref="D96:F108"/>
    <mergeCell ref="D109:F116"/>
    <mergeCell ref="D117:F121"/>
    <mergeCell ref="D123:F134"/>
    <mergeCell ref="D136:F153"/>
    <mergeCell ref="D156:F158"/>
    <mergeCell ref="D160:F163"/>
    <mergeCell ref="D154:F154"/>
    <mergeCell ref="D638:F638"/>
    <mergeCell ref="D531:F531"/>
    <mergeCell ref="D533:F534"/>
    <mergeCell ref="D536:F537"/>
    <mergeCell ref="D541:F541"/>
    <mergeCell ref="D544:F544"/>
    <mergeCell ref="D542:F542"/>
    <mergeCell ref="D546:F547"/>
    <mergeCell ref="D549:F550"/>
    <mergeCell ref="D552:F553"/>
    <mergeCell ref="D602:F605"/>
    <mergeCell ref="D598:F600"/>
    <mergeCell ref="D630:F630"/>
    <mergeCell ref="D632:F633"/>
    <mergeCell ref="D617:F617"/>
    <mergeCell ref="D618:F618"/>
    <mergeCell ref="D620:F622"/>
    <mergeCell ref="D626:F626"/>
    <mergeCell ref="D635:F636"/>
    <mergeCell ref="D593:F593"/>
    <mergeCell ref="D594:F594"/>
    <mergeCell ref="D596:F596"/>
    <mergeCell ref="D568:F576"/>
    <mergeCell ref="D578:F578"/>
    <mergeCell ref="D867:F867"/>
    <mergeCell ref="D732:F734"/>
    <mergeCell ref="D736:F739"/>
    <mergeCell ref="D741:F747"/>
    <mergeCell ref="D748:F748"/>
    <mergeCell ref="D694:F694"/>
    <mergeCell ref="D695:F695"/>
    <mergeCell ref="E696:F696"/>
    <mergeCell ref="D698:F704"/>
    <mergeCell ref="D728:F730"/>
    <mergeCell ref="D721:F722"/>
    <mergeCell ref="D787:F789"/>
    <mergeCell ref="D817:F820"/>
    <mergeCell ref="D804:F809"/>
    <mergeCell ref="D829:F830"/>
    <mergeCell ref="D822:F827"/>
    <mergeCell ref="D783:F785"/>
    <mergeCell ref="D843:F851"/>
    <mergeCell ref="D791:F793"/>
    <mergeCell ref="D795:F799"/>
    <mergeCell ref="D811:F815"/>
    <mergeCell ref="D642:F642"/>
    <mergeCell ref="D644:F649"/>
    <mergeCell ref="D651:F652"/>
    <mergeCell ref="D657:F657"/>
    <mergeCell ref="D654:F655"/>
    <mergeCell ref="D661:F661"/>
    <mergeCell ref="D662:F662"/>
    <mergeCell ref="D664:F669"/>
    <mergeCell ref="D866:F866"/>
    <mergeCell ref="D671:F671"/>
    <mergeCell ref="D672:F676"/>
    <mergeCell ref="D677:F677"/>
    <mergeCell ref="D724:F726"/>
    <mergeCell ref="E687:F688"/>
    <mergeCell ref="D708:F720"/>
    <mergeCell ref="D685:F685"/>
    <mergeCell ref="D686:F686"/>
    <mergeCell ref="D690:F692"/>
    <mergeCell ref="D705:F706"/>
    <mergeCell ref="D886:F887"/>
    <mergeCell ref="D888:F893"/>
    <mergeCell ref="D895:F895"/>
    <mergeCell ref="D896:F896"/>
    <mergeCell ref="E897:F897"/>
    <mergeCell ref="A750:G750"/>
    <mergeCell ref="A778:G778"/>
    <mergeCell ref="D774:F776"/>
    <mergeCell ref="D853:F855"/>
    <mergeCell ref="D857:F858"/>
    <mergeCell ref="E881:F881"/>
    <mergeCell ref="D878:F878"/>
    <mergeCell ref="D780:F780"/>
    <mergeCell ref="D781:F781"/>
    <mergeCell ref="D838:F838"/>
    <mergeCell ref="D837:F837"/>
    <mergeCell ref="D840:F840"/>
    <mergeCell ref="E841:F841"/>
    <mergeCell ref="D832:F833"/>
    <mergeCell ref="D859:F864"/>
    <mergeCell ref="E868:F868"/>
    <mergeCell ref="D870:F873"/>
    <mergeCell ref="D877:F877"/>
    <mergeCell ref="D880:F880"/>
    <mergeCell ref="D954:F959"/>
    <mergeCell ref="D961:F965"/>
    <mergeCell ref="D952:F952"/>
    <mergeCell ref="D967:F971"/>
    <mergeCell ref="D973:F975"/>
    <mergeCell ref="D977:F978"/>
    <mergeCell ref="D980:F981"/>
    <mergeCell ref="D983:F986"/>
    <mergeCell ref="D899:F902"/>
    <mergeCell ref="D906:F906"/>
    <mergeCell ref="D907:F907"/>
    <mergeCell ref="D909:F913"/>
    <mergeCell ref="D915:F921"/>
    <mergeCell ref="D923:F931"/>
    <mergeCell ref="D933:F939"/>
    <mergeCell ref="D941:F944"/>
    <mergeCell ref="D946:F947"/>
    <mergeCell ref="D949:F950"/>
    <mergeCell ref="D1008:F1010"/>
    <mergeCell ref="D1012:F1014"/>
    <mergeCell ref="D1016:F1016"/>
    <mergeCell ref="D1022:F1024"/>
    <mergeCell ref="D1026:F1028"/>
    <mergeCell ref="D1030:F1032"/>
    <mergeCell ref="D1034:F1036"/>
    <mergeCell ref="D1058:F1058"/>
    <mergeCell ref="D988:F988"/>
    <mergeCell ref="D990:F990"/>
    <mergeCell ref="D992:F992"/>
    <mergeCell ref="D994:F998"/>
    <mergeCell ref="D1000:F1004"/>
    <mergeCell ref="D265:F269"/>
    <mergeCell ref="D271:F275"/>
    <mergeCell ref="D800:F802"/>
    <mergeCell ref="D1202:F1203"/>
    <mergeCell ref="D1188:F1189"/>
    <mergeCell ref="D1176:F1176"/>
    <mergeCell ref="D1178:F1179"/>
    <mergeCell ref="D1181:F1182"/>
    <mergeCell ref="D1184:F1184"/>
    <mergeCell ref="D1186:F1186"/>
    <mergeCell ref="D1107:F1113"/>
    <mergeCell ref="D1119:F1119"/>
    <mergeCell ref="D1121:F1122"/>
    <mergeCell ref="D1124:F1125"/>
    <mergeCell ref="D1127:F1127"/>
    <mergeCell ref="D1129:F1129"/>
    <mergeCell ref="D1131:F1132"/>
    <mergeCell ref="D1153:F1153"/>
    <mergeCell ref="D1154:F1154"/>
    <mergeCell ref="D1134:F1134"/>
    <mergeCell ref="D1136:F1149"/>
    <mergeCell ref="D1164:F1167"/>
    <mergeCell ref="D1169:F1170"/>
    <mergeCell ref="D1006:F1006"/>
  </mergeCells>
  <dataValidations count="2">
    <dataValidation type="list" allowBlank="1" showInputMessage="1" showErrorMessage="1" sqref="B79 B1244 B1233 B1228 B1224 B1216 B1211 B1202 B174 B176 B1199 B1188 B1186 B1184 B1181 B1178 B1176 B1174 B1172 B1156 B1131 B1129 B1124 B1121 B1107 B1099 B1094 B1091 B1084 B1080 B1074 B1070 B1065 B1060 B1046 B1042 B1038 B1034 B1030 B1026 B1022 B1018 B1012 B1008 B1000 B994 B990 B988 B1169 B980 B977 B973 B967 B961 B954 B949 B941 B933 B923 B915 B899 B895 B886 B880 B870 B866 B857 B853 B840 B832 B485 B804 B822 B791 B829 B487 B817 B795 B787 B783 B771 B767 B762 B755 B741 B736 B732 B728 B247 B708 B698 B694 B690 B685 B664 B657 B654 B651 B644 B638 B635 B632 B630 B620 B613 B607 B43 B596 B588 B583 B578 B565 B562 B522 B559 B555 B552 B549 B546 B544 B536 B533 B525 B298 B517 B513 B510 B508 B811 B503 B500 B493 B109 B476 B472 B469 B465 B459 B427 B421 B412 B379 B368 B366 B356 B346 B330 B328 B326 B318 B314 B311 B294 B883 B286 B282 B242 B774 B237 B227 B16 B217 B197 B191 B178 B1115 B165 B160 B983 B136 B123 B117 B415 B87 B20 B22 B25 B31 B34 B49 B56 B61 B65 B68 B72 B75 B222 B671 B598 B602 B610 B252 B705 B96 B479 B483 B909 B1136 B1164 B843 B156 B277 B265 B260">
      <formula1>$I$2:$I$5</formula1>
    </dataValidation>
    <dataValidation type="list" allowBlank="1" showInputMessage="1" showErrorMessage="1" sqref="B721 B724">
      <formula1>$I$3:$I$6</formula1>
    </dataValidation>
  </dataValidations>
  <hyperlinks>
    <hyperlink ref="D460" r:id="rId1"/>
    <hyperlink ref="D1218" r:id="rId2"/>
    <hyperlink ref="D195" r:id="rId3"/>
    <hyperlink ref="D677" r:id="rId4"/>
    <hyperlink ref="D154:F154" r:id="rId5" display="(https://www.treasurer.ca.gov/ctcac/cuac/index.asp) "/>
    <hyperlink ref="D748" r:id="rId6"/>
    <hyperlink ref="D425" r:id="rId7"/>
  </hyperlinks>
  <printOptions horizontalCentered="1"/>
  <pageMargins left="0.7" right="0.5" top="1" bottom="1" header="0.5" footer="0.5"/>
  <pageSetup scale="97" fitToHeight="0" orientation="portrait" r:id="rId8"/>
  <headerFooter alignWithMargins="0"/>
  <rowBreaks count="32" manualBreakCount="32">
    <brk id="81" max="6" man="1"/>
    <brk id="122" max="6" man="1"/>
    <brk id="168" max="6" man="1"/>
    <brk id="198" max="6" man="1"/>
    <brk id="246" max="6" man="1"/>
    <brk id="253" max="6" man="1"/>
    <brk id="288" max="16383" man="1"/>
    <brk id="302" max="6" man="1"/>
    <brk id="320" max="16383" man="1"/>
    <brk id="362" max="6" man="1"/>
    <brk id="458" max="6" man="1"/>
    <brk id="494" max="6" man="1"/>
    <brk id="514" max="16383" man="1"/>
    <brk id="528" max="6" man="1"/>
    <brk id="614" max="16383" man="1"/>
    <brk id="623" max="16383" man="1"/>
    <brk id="639" max="16383" man="1"/>
    <brk id="658" max="16383" man="1"/>
    <brk id="678" max="16383" man="1"/>
    <brk id="727" max="6" man="1"/>
    <brk id="749" max="16383" man="1"/>
    <brk id="777" max="16383" man="1"/>
    <brk id="834" max="16383" man="1"/>
    <brk id="874" max="6" man="1"/>
    <brk id="903" max="6" man="1"/>
    <brk id="999" max="6" man="1"/>
    <brk id="1045" max="6" man="1"/>
    <brk id="1150" max="16383" man="1"/>
    <brk id="1190" max="6" man="1"/>
    <brk id="1192" max="6" man="1"/>
    <brk id="1205" max="16383" man="1"/>
    <brk id="1238" max="16383" man="1"/>
  </rowBreaks>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dimension ref="A1:DV1088"/>
  <sheetViews>
    <sheetView showGridLines="0" showZeros="0" tabSelected="1" topLeftCell="A316" zoomScale="110" zoomScaleNormal="110" zoomScaleSheetLayoutView="100" zoomScalePageLayoutView="110" workbookViewId="0">
      <selection activeCell="H338" sqref="H338:R338"/>
    </sheetView>
  </sheetViews>
  <sheetFormatPr defaultColWidth="0" defaultRowHeight="0" customHeight="1" zeroHeight="1"/>
  <cols>
    <col min="1" max="38" width="2.44140625" style="16" customWidth="1"/>
    <col min="39" max="41" width="2.6640625" style="16" customWidth="1"/>
    <col min="42" max="45" width="2.44140625" style="16" customWidth="1"/>
    <col min="46" max="46" width="1.6640625" style="16" customWidth="1"/>
    <col min="47" max="67" width="3.6640625" style="16" hidden="1" customWidth="1"/>
    <col min="68" max="81" width="2.44140625" style="16" hidden="1" customWidth="1"/>
    <col min="82" max="83" width="2.6640625" style="16" hidden="1" customWidth="1"/>
    <col min="84" max="84" width="2.44140625" style="16" hidden="1" customWidth="1"/>
    <col min="85" max="126" width="2.6640625" style="16" hidden="1" customWidth="1"/>
    <col min="127" max="127" width="0" style="16" hidden="1" customWidth="1"/>
    <col min="128" max="16384" width="0" style="16" hidden="1"/>
  </cols>
  <sheetData>
    <row r="1" spans="1:38" ht="13.2">
      <c r="A1" s="35"/>
      <c r="B1" s="35"/>
      <c r="C1" s="35"/>
      <c r="D1" s="35"/>
      <c r="E1" s="35"/>
      <c r="F1" s="35"/>
      <c r="G1" s="3"/>
      <c r="H1" s="35"/>
      <c r="I1" s="35"/>
      <c r="J1" s="291"/>
      <c r="K1" s="35"/>
      <c r="L1" s="35"/>
      <c r="M1" s="35"/>
      <c r="N1" s="35"/>
      <c r="O1" s="35"/>
      <c r="P1" s="35"/>
      <c r="Q1" s="35"/>
      <c r="R1" s="35"/>
      <c r="S1" s="35"/>
      <c r="T1" s="35"/>
      <c r="U1" s="35"/>
      <c r="V1" s="35"/>
      <c r="W1" s="35"/>
      <c r="X1" s="35"/>
      <c r="Y1" s="35"/>
      <c r="Z1" s="35"/>
      <c r="AA1" s="35"/>
      <c r="AB1" s="35"/>
      <c r="AC1" s="35"/>
      <c r="AD1" s="35"/>
      <c r="AE1" s="35"/>
      <c r="AF1" s="35"/>
      <c r="AG1" s="35"/>
      <c r="AH1" s="35"/>
      <c r="AI1" s="35"/>
      <c r="AK1" s="3"/>
      <c r="AL1" s="3"/>
    </row>
    <row r="2" spans="1:38" ht="13.2">
      <c r="A2" s="35"/>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c r="AF2" s="35"/>
      <c r="AG2" s="35"/>
      <c r="AH2" s="35"/>
      <c r="AI2" s="35"/>
      <c r="AK2" s="3"/>
      <c r="AL2" s="3"/>
    </row>
    <row r="3" spans="1:38" ht="13.2">
      <c r="A3" s="35"/>
      <c r="B3" s="35"/>
      <c r="C3" s="35"/>
      <c r="D3" s="35"/>
      <c r="E3" s="35"/>
      <c r="F3" s="35"/>
      <c r="G3" s="3"/>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K3" s="3"/>
      <c r="AL3" s="3"/>
    </row>
    <row r="4" spans="1:38" ht="13.2">
      <c r="A4" s="35"/>
      <c r="B4" s="35"/>
      <c r="C4" s="35"/>
      <c r="D4" s="35"/>
      <c r="E4" s="35"/>
      <c r="F4" s="35"/>
      <c r="G4" s="35"/>
      <c r="H4" s="35"/>
      <c r="I4" s="35"/>
      <c r="J4" s="35"/>
      <c r="K4" s="35"/>
      <c r="L4" s="35"/>
      <c r="M4" s="35"/>
      <c r="N4" s="35"/>
      <c r="O4" s="35"/>
      <c r="P4" s="35"/>
      <c r="Q4" s="35"/>
      <c r="R4" s="35"/>
      <c r="S4" s="35"/>
      <c r="T4" s="35"/>
      <c r="U4" s="35"/>
      <c r="V4" s="35"/>
      <c r="W4" s="35"/>
      <c r="X4" s="35"/>
    </row>
    <row r="5" spans="1:38" ht="13.2">
      <c r="A5" s="35"/>
      <c r="B5" s="35"/>
      <c r="C5" s="35"/>
      <c r="D5" s="35"/>
      <c r="E5" s="35"/>
      <c r="F5" s="35"/>
      <c r="G5" s="3"/>
      <c r="H5" s="35"/>
      <c r="I5" s="35"/>
      <c r="J5" s="35"/>
      <c r="K5" s="35"/>
      <c r="L5" s="35"/>
      <c r="M5" s="35"/>
      <c r="N5" s="35"/>
      <c r="O5" s="35"/>
      <c r="P5" s="35"/>
      <c r="Q5" s="35"/>
      <c r="R5" s="35"/>
      <c r="S5" s="35"/>
      <c r="T5" s="35"/>
      <c r="U5" s="35"/>
      <c r="V5" s="35"/>
      <c r="W5" s="35"/>
      <c r="X5" s="35"/>
    </row>
    <row r="6" spans="1:38" ht="13.2">
      <c r="A6" s="35"/>
      <c r="B6" s="35"/>
      <c r="C6" s="35"/>
      <c r="D6" s="35"/>
      <c r="E6" s="35"/>
      <c r="F6" s="35"/>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K6" s="3"/>
      <c r="AL6" s="3"/>
    </row>
    <row r="7" spans="1:38" ht="13.2">
      <c r="A7" s="35"/>
      <c r="B7" s="35"/>
      <c r="C7" s="35"/>
      <c r="D7" s="35"/>
      <c r="E7" s="35"/>
      <c r="F7" s="35"/>
      <c r="G7" s="35"/>
      <c r="H7" s="35"/>
      <c r="I7" s="35"/>
      <c r="J7" s="35"/>
      <c r="K7" s="35"/>
      <c r="L7" s="35"/>
      <c r="M7" s="35"/>
      <c r="N7" s="35"/>
      <c r="O7" s="35"/>
      <c r="P7" s="35"/>
      <c r="Q7" s="35"/>
      <c r="R7" s="35"/>
      <c r="S7" s="35"/>
      <c r="T7" s="35"/>
      <c r="U7" s="35"/>
      <c r="V7" s="35"/>
      <c r="W7" s="35"/>
      <c r="X7" s="35"/>
      <c r="Y7" s="35"/>
      <c r="Z7" s="35"/>
      <c r="AA7" s="35"/>
      <c r="AB7" s="35"/>
      <c r="AC7" s="35"/>
      <c r="AD7" s="35"/>
      <c r="AE7" s="35"/>
      <c r="AF7" s="35"/>
      <c r="AG7" s="35"/>
      <c r="AH7" s="35"/>
      <c r="AI7" s="35"/>
      <c r="AK7" s="3"/>
      <c r="AL7" s="3"/>
    </row>
    <row r="8" spans="1:38" ht="13.2">
      <c r="A8" s="35"/>
      <c r="B8" s="35"/>
      <c r="C8" s="35"/>
      <c r="D8" s="35"/>
      <c r="E8" s="35"/>
      <c r="F8" s="35"/>
      <c r="G8" s="35"/>
      <c r="H8" s="35"/>
      <c r="I8" s="35"/>
      <c r="J8" s="35"/>
      <c r="K8" s="35"/>
      <c r="L8" s="35"/>
      <c r="M8" s="35"/>
      <c r="N8" s="35"/>
      <c r="O8" s="35"/>
      <c r="P8" s="35"/>
      <c r="Q8" s="35"/>
      <c r="R8" s="35"/>
      <c r="S8" s="35"/>
      <c r="T8" s="35"/>
      <c r="U8" s="35"/>
      <c r="V8" s="35"/>
      <c r="W8" s="35"/>
      <c r="X8" s="35"/>
      <c r="Y8" s="35"/>
      <c r="Z8" s="35"/>
      <c r="AA8" s="35"/>
      <c r="AB8" s="35"/>
      <c r="AC8" s="35"/>
      <c r="AD8" s="35"/>
      <c r="AE8" s="35"/>
      <c r="AF8" s="35"/>
      <c r="AG8" s="35"/>
      <c r="AH8" s="35"/>
      <c r="AI8" s="35"/>
      <c r="AK8" s="3"/>
      <c r="AL8" s="3"/>
    </row>
    <row r="9" spans="1:38" ht="15" customHeight="1">
      <c r="A9" s="2073" t="s">
        <v>868</v>
      </c>
      <c r="B9" s="2073"/>
      <c r="C9" s="2073"/>
      <c r="D9" s="2073"/>
      <c r="E9" s="2073"/>
      <c r="F9" s="2073"/>
      <c r="G9" s="2073"/>
      <c r="H9" s="2073"/>
      <c r="I9" s="2073"/>
      <c r="J9" s="2073"/>
      <c r="K9" s="2073"/>
      <c r="L9" s="2073"/>
      <c r="M9" s="2073"/>
      <c r="N9" s="2073"/>
      <c r="O9" s="2073"/>
      <c r="P9" s="2073"/>
      <c r="Q9" s="2073"/>
      <c r="R9" s="2073"/>
      <c r="S9" s="2073"/>
      <c r="T9" s="2073"/>
      <c r="U9" s="2073"/>
      <c r="V9" s="2073"/>
      <c r="W9" s="2073"/>
      <c r="X9" s="2073"/>
      <c r="Y9" s="2073"/>
      <c r="Z9" s="2073"/>
      <c r="AA9" s="2073"/>
      <c r="AB9" s="2073"/>
      <c r="AC9" s="2073"/>
      <c r="AD9" s="2073"/>
      <c r="AE9" s="2073"/>
      <c r="AF9" s="2073"/>
      <c r="AG9" s="2073"/>
      <c r="AH9" s="2073"/>
      <c r="AI9" s="2073"/>
      <c r="AJ9" s="2073"/>
      <c r="AK9" s="2073"/>
      <c r="AL9" s="2073"/>
    </row>
    <row r="10" spans="1:38" ht="15" customHeight="1">
      <c r="A10" s="2076" t="s">
        <v>2254</v>
      </c>
      <c r="B10" s="2076"/>
      <c r="C10" s="2076"/>
      <c r="D10" s="2076"/>
      <c r="E10" s="2076"/>
      <c r="F10" s="2076"/>
      <c r="G10" s="2076"/>
      <c r="H10" s="2076"/>
      <c r="I10" s="2076"/>
      <c r="J10" s="2076"/>
      <c r="K10" s="2076"/>
      <c r="L10" s="2076"/>
      <c r="M10" s="2076"/>
      <c r="N10" s="2076"/>
      <c r="O10" s="2076"/>
      <c r="P10" s="2076"/>
      <c r="Q10" s="2076"/>
      <c r="R10" s="2076"/>
      <c r="S10" s="2076"/>
      <c r="T10" s="2076"/>
      <c r="U10" s="2076"/>
      <c r="V10" s="2076"/>
      <c r="W10" s="2076"/>
      <c r="X10" s="2076"/>
      <c r="Y10" s="2076"/>
      <c r="Z10" s="2076"/>
      <c r="AA10" s="2076"/>
      <c r="AB10" s="2076"/>
      <c r="AC10" s="2076"/>
      <c r="AD10" s="2076"/>
      <c r="AE10" s="2076"/>
      <c r="AF10" s="2076"/>
      <c r="AG10" s="2076"/>
      <c r="AH10" s="2076"/>
      <c r="AI10" s="2076"/>
      <c r="AJ10" s="2076"/>
      <c r="AK10" s="2076"/>
      <c r="AL10" s="2076"/>
    </row>
    <row r="11" spans="1:38" s="644" customFormat="1" ht="13.2">
      <c r="A11" s="2078" t="s">
        <v>2327</v>
      </c>
      <c r="B11" s="2079"/>
      <c r="C11" s="2079"/>
      <c r="D11" s="2079"/>
      <c r="E11" s="2079"/>
      <c r="F11" s="2079"/>
      <c r="G11" s="2079"/>
      <c r="H11" s="2079"/>
      <c r="I11" s="2079"/>
      <c r="J11" s="2079"/>
      <c r="K11" s="2079"/>
      <c r="L11" s="2079"/>
      <c r="M11" s="2079"/>
      <c r="N11" s="2079"/>
      <c r="O11" s="2079"/>
      <c r="P11" s="2079"/>
      <c r="Q11" s="2079"/>
      <c r="R11" s="2079"/>
      <c r="S11" s="2079"/>
      <c r="T11" s="2079"/>
      <c r="U11" s="2079"/>
      <c r="V11" s="2079"/>
      <c r="W11" s="2079"/>
      <c r="X11" s="2079"/>
      <c r="Y11" s="2079"/>
      <c r="Z11" s="2079"/>
      <c r="AA11" s="2079"/>
      <c r="AB11" s="2079"/>
      <c r="AC11" s="2079"/>
      <c r="AD11" s="2079"/>
      <c r="AE11" s="2079"/>
      <c r="AF11" s="2079"/>
      <c r="AG11" s="2079"/>
      <c r="AH11" s="2079"/>
      <c r="AI11" s="2079"/>
      <c r="AJ11" s="2079"/>
      <c r="AK11" s="2079"/>
      <c r="AL11" s="2079"/>
    </row>
    <row r="12" spans="1:38" ht="13.2">
      <c r="A12" s="1525" t="s">
        <v>2141</v>
      </c>
      <c r="B12" s="1525"/>
      <c r="C12" s="1525"/>
      <c r="D12" s="1525"/>
      <c r="E12" s="1525"/>
      <c r="F12" s="1525"/>
      <c r="G12" s="1525"/>
      <c r="H12" s="1525"/>
      <c r="I12" s="1525"/>
      <c r="J12" s="1525"/>
      <c r="K12" s="1525"/>
      <c r="L12" s="1525"/>
      <c r="M12" s="1525"/>
      <c r="N12" s="1525"/>
      <c r="O12" s="1525"/>
      <c r="P12" s="1525"/>
      <c r="Q12" s="1525"/>
      <c r="R12" s="1525"/>
      <c r="S12" s="1525"/>
      <c r="T12" s="1525"/>
      <c r="U12" s="1525"/>
      <c r="V12" s="1525"/>
      <c r="W12" s="1525"/>
      <c r="X12" s="1525"/>
      <c r="Y12" s="1525"/>
      <c r="Z12" s="1525"/>
      <c r="AA12" s="1525"/>
      <c r="AB12" s="1525"/>
      <c r="AC12" s="1525"/>
      <c r="AD12" s="1525"/>
      <c r="AE12" s="1525"/>
      <c r="AF12" s="1525"/>
      <c r="AG12" s="1525"/>
      <c r="AH12" s="1525"/>
      <c r="AI12" s="1525"/>
      <c r="AJ12" s="1525"/>
      <c r="AK12" s="1525"/>
      <c r="AL12" s="1525"/>
    </row>
    <row r="13" spans="1:38" ht="12.75" customHeight="1" thickBot="1">
      <c r="A13" s="1527"/>
      <c r="B13" s="1527"/>
      <c r="C13" s="1527"/>
      <c r="D13" s="1527"/>
      <c r="E13" s="1527"/>
      <c r="F13" s="1527"/>
      <c r="G13" s="1527"/>
      <c r="H13" s="1527"/>
      <c r="I13" s="1527"/>
      <c r="J13" s="1527"/>
      <c r="K13" s="1527"/>
      <c r="L13" s="1527"/>
      <c r="M13" s="1527"/>
      <c r="N13" s="1527"/>
      <c r="O13" s="1527"/>
      <c r="P13" s="1527"/>
      <c r="Q13" s="1527"/>
      <c r="R13" s="1527"/>
      <c r="S13" s="1527"/>
      <c r="T13" s="1527"/>
      <c r="U13" s="1527"/>
      <c r="V13" s="1527"/>
      <c r="W13" s="1527"/>
      <c r="X13" s="1527"/>
      <c r="Y13" s="1527"/>
      <c r="Z13" s="1527"/>
      <c r="AA13" s="1527"/>
      <c r="AB13" s="1527"/>
      <c r="AC13" s="1527"/>
      <c r="AD13" s="1527"/>
      <c r="AE13" s="1527"/>
      <c r="AF13" s="1527"/>
      <c r="AG13" s="1527"/>
      <c r="AH13" s="1527"/>
      <c r="AI13" s="1527"/>
      <c r="AJ13" s="1527"/>
      <c r="AK13" s="1527"/>
      <c r="AL13" s="1527"/>
    </row>
    <row r="14" spans="1:38" ht="12.75" customHeight="1" thickTop="1">
      <c r="A14" s="270"/>
      <c r="B14" s="270"/>
      <c r="C14" s="270"/>
      <c r="D14" s="270"/>
      <c r="E14" s="270"/>
      <c r="F14" s="270"/>
      <c r="G14" s="270"/>
      <c r="AC14" s="270"/>
      <c r="AD14" s="270"/>
      <c r="AE14" s="270"/>
      <c r="AF14" s="270"/>
      <c r="AG14" s="270"/>
      <c r="AH14" s="270"/>
      <c r="AI14" s="270"/>
      <c r="AJ14" s="270"/>
      <c r="AK14" s="270"/>
      <c r="AL14" s="270"/>
    </row>
    <row r="15" spans="1:38" ht="12.75" customHeight="1">
      <c r="A15" s="142" t="s">
        <v>616</v>
      </c>
      <c r="C15" s="8"/>
      <c r="D15" s="8"/>
      <c r="E15" s="8"/>
      <c r="F15" s="8"/>
      <c r="G15" s="8"/>
      <c r="H15" s="2077" t="s">
        <v>2328</v>
      </c>
      <c r="I15" s="2077"/>
      <c r="J15" s="2077"/>
      <c r="K15" s="2077"/>
      <c r="L15" s="2077"/>
      <c r="M15" s="2077"/>
      <c r="N15" s="2077"/>
      <c r="O15" s="2077"/>
      <c r="P15" s="2077"/>
      <c r="Q15" s="2077"/>
      <c r="R15" s="2077"/>
      <c r="S15" s="2077"/>
      <c r="T15" s="2077"/>
      <c r="U15" s="2077"/>
      <c r="V15" s="2077"/>
      <c r="W15" s="2077"/>
      <c r="X15" s="2077"/>
      <c r="Y15" s="2077"/>
      <c r="Z15" s="2077"/>
      <c r="AA15" s="2077"/>
      <c r="AB15" s="2077"/>
      <c r="AC15" s="2077"/>
      <c r="AD15" s="2077"/>
      <c r="AE15" s="2077"/>
      <c r="AF15" s="2077"/>
      <c r="AG15" s="2077"/>
      <c r="AH15" s="2077"/>
      <c r="AI15" s="2077"/>
      <c r="AJ15" s="2077"/>
    </row>
    <row r="16" spans="1:38" ht="12.75" customHeight="1"/>
    <row r="17" spans="1:40" ht="12.75" customHeight="1">
      <c r="A17" s="142" t="s">
        <v>869</v>
      </c>
      <c r="C17" s="8"/>
      <c r="D17" s="8"/>
      <c r="E17" s="8"/>
      <c r="F17" s="8"/>
      <c r="G17" s="8"/>
      <c r="H17" s="1787" t="s">
        <v>2329</v>
      </c>
      <c r="I17" s="2070"/>
      <c r="J17" s="2070"/>
      <c r="K17" s="2070"/>
      <c r="L17" s="2070"/>
      <c r="M17" s="2070"/>
      <c r="N17" s="2070"/>
      <c r="O17" s="2070"/>
      <c r="P17" s="2070"/>
      <c r="Q17" s="2070"/>
      <c r="R17" s="2070"/>
      <c r="S17" s="2070"/>
      <c r="T17" s="2070"/>
      <c r="U17" s="2070"/>
      <c r="V17" s="2070"/>
      <c r="W17" s="2070"/>
      <c r="X17" s="2070"/>
      <c r="Y17" s="2070"/>
      <c r="Z17" s="2070"/>
      <c r="AA17" s="2070"/>
      <c r="AB17" s="2070"/>
      <c r="AC17" s="2070"/>
      <c r="AD17" s="2070"/>
      <c r="AE17" s="2070"/>
      <c r="AF17" s="2070"/>
      <c r="AG17" s="2070"/>
      <c r="AH17" s="2070"/>
      <c r="AI17" s="2070"/>
      <c r="AJ17" s="2070"/>
    </row>
    <row r="18" spans="1:40" ht="12.75" customHeight="1"/>
    <row r="19" spans="1:40" ht="15" customHeight="1">
      <c r="A19" s="1536" t="s">
        <v>1218</v>
      </c>
      <c r="B19" s="1536"/>
      <c r="C19" s="1536"/>
      <c r="D19" s="1536"/>
      <c r="E19" s="1536"/>
      <c r="F19" s="1536"/>
      <c r="G19" s="1536"/>
      <c r="H19" s="1536"/>
      <c r="I19" s="1536"/>
      <c r="J19" s="1536"/>
      <c r="K19" s="1536"/>
      <c r="L19" s="1536"/>
      <c r="M19" s="1536"/>
      <c r="N19" s="1536"/>
      <c r="O19" s="1536"/>
      <c r="P19" s="1536"/>
      <c r="Q19" s="1536"/>
      <c r="R19" s="1536"/>
      <c r="S19" s="1536"/>
      <c r="T19" s="1536"/>
      <c r="U19" s="1536"/>
      <c r="V19" s="1536"/>
      <c r="W19" s="1536"/>
      <c r="X19" s="1536"/>
      <c r="Y19" s="1536"/>
      <c r="Z19" s="1536"/>
      <c r="AA19" s="1536"/>
      <c r="AB19" s="1536"/>
      <c r="AC19" s="1536"/>
      <c r="AD19" s="1536"/>
      <c r="AE19" s="1536"/>
      <c r="AF19" s="1536"/>
      <c r="AG19" s="1536"/>
      <c r="AH19" s="1536"/>
      <c r="AI19" s="1536"/>
      <c r="AJ19" s="1536"/>
      <c r="AK19" s="1536"/>
      <c r="AL19" s="1536"/>
    </row>
    <row r="20" spans="1:40" ht="12.75" customHeight="1">
      <c r="A20" s="2082" t="s">
        <v>1495</v>
      </c>
      <c r="B20" s="2082"/>
      <c r="C20" s="2082"/>
      <c r="D20" s="2082"/>
      <c r="E20" s="2082"/>
      <c r="F20" s="2082"/>
      <c r="G20" s="2082"/>
      <c r="H20" s="2082"/>
      <c r="I20" s="2082"/>
      <c r="J20" s="2082"/>
      <c r="K20" s="2082"/>
      <c r="L20" s="2082"/>
      <c r="M20" s="2082"/>
      <c r="N20" s="2082"/>
      <c r="O20" s="2082"/>
      <c r="P20" s="2082"/>
      <c r="Q20" s="2082"/>
      <c r="R20" s="2082"/>
      <c r="S20" s="2082"/>
      <c r="T20" s="2082"/>
      <c r="U20" s="2082"/>
      <c r="V20" s="2082"/>
      <c r="W20" s="2082"/>
      <c r="X20" s="2082"/>
      <c r="Y20" s="2082"/>
      <c r="Z20" s="2082"/>
      <c r="AA20" s="2082"/>
      <c r="AB20" s="2082"/>
      <c r="AC20" s="2082"/>
      <c r="AD20" s="2082"/>
      <c r="AE20" s="2082"/>
      <c r="AF20" s="2082"/>
      <c r="AG20" s="2082"/>
      <c r="AH20" s="2082"/>
      <c r="AI20" s="2082"/>
      <c r="AJ20" s="2082"/>
      <c r="AK20" s="2082"/>
      <c r="AL20" s="2082"/>
    </row>
    <row r="21" spans="1:40" ht="12.75" customHeight="1">
      <c r="A21" s="36"/>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row>
    <row r="22" spans="1:40" ht="12.75" customHeight="1">
      <c r="A22" s="323" t="s">
        <v>321</v>
      </c>
      <c r="C22" s="324"/>
      <c r="D22" s="324"/>
      <c r="E22" s="324"/>
      <c r="F22" s="324"/>
      <c r="G22" s="324"/>
      <c r="H22" s="324"/>
      <c r="I22" s="324"/>
      <c r="J22" s="324"/>
      <c r="K22" s="324"/>
      <c r="L22" s="324"/>
      <c r="M22" s="324"/>
      <c r="N22" s="324"/>
      <c r="O22" s="324"/>
      <c r="P22" s="324"/>
      <c r="Q22" s="324"/>
      <c r="R22" s="324"/>
      <c r="S22" s="324"/>
      <c r="T22" s="324"/>
      <c r="U22" s="324"/>
      <c r="V22" s="324"/>
      <c r="W22" s="324"/>
      <c r="X22" s="324"/>
      <c r="Y22" s="324"/>
      <c r="Z22" s="324"/>
      <c r="AA22" s="38"/>
      <c r="AB22" s="38"/>
      <c r="AC22" s="38"/>
      <c r="AD22" s="38"/>
      <c r="AE22" s="38"/>
      <c r="AF22" s="38"/>
      <c r="AG22" s="38"/>
      <c r="AH22" s="38"/>
      <c r="AI22" s="38"/>
      <c r="AJ22" s="38"/>
      <c r="AK22" s="38"/>
      <c r="AL22" s="38"/>
      <c r="AM22" s="38"/>
    </row>
    <row r="23" spans="1:40" ht="12.75" customHeight="1">
      <c r="A23" s="323" t="s">
        <v>429</v>
      </c>
      <c r="C23" s="324"/>
      <c r="D23" s="324"/>
      <c r="E23" s="324"/>
      <c r="F23" s="324"/>
      <c r="G23" s="324"/>
      <c r="H23" s="324"/>
      <c r="I23" s="324"/>
      <c r="J23" s="324"/>
      <c r="K23" s="324"/>
      <c r="L23" s="324"/>
      <c r="M23" s="324"/>
      <c r="N23" s="324"/>
      <c r="O23" s="324"/>
      <c r="P23" s="324"/>
      <c r="Q23" s="324"/>
      <c r="R23" s="324"/>
      <c r="S23" s="324"/>
      <c r="T23" s="324"/>
      <c r="U23" s="324"/>
      <c r="V23" s="324"/>
      <c r="W23" s="324"/>
      <c r="X23" s="324"/>
      <c r="Y23" s="324"/>
      <c r="Z23" s="324"/>
      <c r="AA23" s="38"/>
      <c r="AB23" s="38"/>
      <c r="AC23" s="38"/>
      <c r="AD23" s="38"/>
      <c r="AE23" s="38"/>
      <c r="AF23" s="38"/>
      <c r="AG23" s="38"/>
      <c r="AH23" s="38"/>
      <c r="AI23" s="38"/>
      <c r="AJ23" s="38"/>
      <c r="AK23" s="38"/>
      <c r="AL23" s="38"/>
      <c r="AM23" s="38"/>
    </row>
    <row r="24" spans="1:40" ht="12.75" customHeight="1">
      <c r="A24" s="34"/>
      <c r="C24" s="34"/>
      <c r="D24" s="34"/>
      <c r="E24" s="34"/>
      <c r="F24" s="34"/>
      <c r="G24" s="34"/>
      <c r="H24" s="34"/>
      <c r="I24" s="34"/>
      <c r="J24" s="34"/>
      <c r="K24" s="34"/>
      <c r="L24" s="34"/>
      <c r="M24" s="34"/>
      <c r="N24" s="34"/>
      <c r="O24" s="34"/>
      <c r="P24" s="34"/>
      <c r="Q24" s="34"/>
      <c r="R24" s="34"/>
      <c r="S24" s="34"/>
      <c r="T24" s="34"/>
      <c r="U24" s="34"/>
      <c r="V24" s="34"/>
      <c r="W24" s="34"/>
      <c r="X24" s="34"/>
      <c r="Y24" s="34"/>
      <c r="Z24" s="34"/>
      <c r="AA24" s="34"/>
      <c r="AB24" s="34"/>
      <c r="AC24" s="34"/>
      <c r="AD24" s="34"/>
      <c r="AE24" s="34"/>
      <c r="AF24" s="34"/>
      <c r="AG24" s="34"/>
      <c r="AH24" s="34"/>
      <c r="AI24" s="34"/>
      <c r="AJ24" s="34"/>
      <c r="AK24" s="8"/>
    </row>
    <row r="25" spans="1:40" ht="12.75" customHeight="1">
      <c r="A25" s="8"/>
      <c r="C25" s="8"/>
      <c r="D25" s="8"/>
      <c r="E25" s="8"/>
      <c r="F25" s="8"/>
      <c r="G25" s="8"/>
      <c r="H25" s="8"/>
      <c r="I25" s="8"/>
      <c r="J25" s="8"/>
      <c r="K25" s="8"/>
      <c r="L25" s="8"/>
      <c r="M25" s="2083">
        <f>'Basis &amp; Credits'!AB55</f>
        <v>1938867</v>
      </c>
      <c r="N25" s="2083"/>
      <c r="O25" s="2083"/>
      <c r="P25" s="2083"/>
      <c r="Q25" s="2083"/>
      <c r="R25" s="8" t="s">
        <v>926</v>
      </c>
      <c r="S25" s="8"/>
      <c r="T25" s="8"/>
      <c r="U25" s="8"/>
      <c r="V25" s="8"/>
      <c r="W25" s="8"/>
      <c r="X25" s="8"/>
      <c r="Y25" s="8"/>
      <c r="Z25" s="8"/>
      <c r="AF25" s="8"/>
      <c r="AG25" s="8"/>
      <c r="AH25" s="8"/>
      <c r="AI25" s="8"/>
      <c r="AJ25" s="8"/>
      <c r="AK25" s="8"/>
    </row>
    <row r="26" spans="1:40" ht="12.75" customHeight="1">
      <c r="A26" s="8"/>
      <c r="C26" s="8"/>
      <c r="D26" s="8"/>
      <c r="E26" s="8"/>
      <c r="F26" s="8"/>
      <c r="G26" s="8"/>
      <c r="H26" s="8"/>
      <c r="I26" s="8"/>
      <c r="J26" s="8"/>
      <c r="K26" s="8"/>
      <c r="L26" s="8"/>
      <c r="M26" s="40"/>
      <c r="N26" s="8"/>
      <c r="O26" s="8"/>
      <c r="P26" s="8"/>
      <c r="Q26" s="8"/>
      <c r="R26" s="8"/>
      <c r="S26" s="8"/>
      <c r="T26" s="8"/>
      <c r="U26" s="8"/>
      <c r="V26" s="8"/>
      <c r="W26" s="8"/>
      <c r="X26" s="8"/>
      <c r="Y26" s="8"/>
      <c r="Z26" s="8"/>
      <c r="AF26" s="8"/>
      <c r="AG26" s="8"/>
      <c r="AH26" s="8"/>
      <c r="AI26" s="8"/>
      <c r="AJ26" s="8"/>
      <c r="AK26" s="8"/>
    </row>
    <row r="27" spans="1:40" ht="12.75" customHeight="1">
      <c r="A27" s="8"/>
      <c r="C27" s="8"/>
      <c r="D27" s="8"/>
      <c r="E27" s="8"/>
      <c r="F27" s="8"/>
      <c r="G27" s="8"/>
      <c r="H27" s="8"/>
      <c r="I27" s="8"/>
      <c r="J27" s="8"/>
      <c r="K27" s="8"/>
      <c r="L27" s="8"/>
      <c r="M27" s="2083">
        <f>'Basis &amp; Credits'!AB76</f>
        <v>0</v>
      </c>
      <c r="N27" s="2083"/>
      <c r="O27" s="2083"/>
      <c r="P27" s="2083"/>
      <c r="Q27" s="2083"/>
      <c r="R27" s="8" t="s">
        <v>1494</v>
      </c>
      <c r="S27" s="8"/>
      <c r="T27" s="8"/>
      <c r="U27" s="8"/>
      <c r="V27" s="8"/>
      <c r="W27" s="8"/>
      <c r="X27" s="8"/>
      <c r="Y27" s="8"/>
      <c r="Z27" s="8"/>
      <c r="AF27" s="8"/>
      <c r="AG27" s="8"/>
      <c r="AH27" s="8"/>
      <c r="AI27" s="8"/>
      <c r="AJ27" s="8"/>
      <c r="AK27" s="8"/>
    </row>
    <row r="28" spans="1:40" ht="12.75" customHeight="1">
      <c r="A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row>
    <row r="29" spans="1:40" ht="12.75" customHeight="1">
      <c r="A29" s="222" t="s">
        <v>225</v>
      </c>
      <c r="C29" s="222"/>
      <c r="D29" s="222"/>
      <c r="E29" s="222"/>
      <c r="F29" s="222"/>
      <c r="G29" s="222"/>
      <c r="H29" s="222"/>
      <c r="I29" s="222"/>
      <c r="J29" s="222"/>
      <c r="K29" s="222"/>
      <c r="L29" s="222"/>
      <c r="M29" s="222"/>
      <c r="N29" s="222"/>
      <c r="O29" s="222"/>
      <c r="P29" s="222"/>
      <c r="Q29" s="222"/>
      <c r="R29" s="222"/>
      <c r="S29" s="222"/>
      <c r="T29" s="222"/>
      <c r="U29" s="222"/>
      <c r="V29" s="222"/>
      <c r="W29" s="222"/>
      <c r="X29" s="222"/>
      <c r="Y29" s="222"/>
      <c r="Z29" s="222"/>
      <c r="AA29" s="41"/>
      <c r="AB29" s="41"/>
      <c r="AC29" s="41"/>
      <c r="AD29" s="41"/>
      <c r="AE29" s="41"/>
      <c r="AF29" s="41"/>
      <c r="AG29" s="41"/>
      <c r="AH29" s="41"/>
      <c r="AI29" s="41"/>
      <c r="AJ29" s="41"/>
      <c r="AK29" s="41"/>
      <c r="AL29" s="41"/>
      <c r="AM29" s="41"/>
      <c r="AN29" s="8"/>
    </row>
    <row r="30" spans="1:40" ht="12.75" customHeight="1">
      <c r="A30" s="222" t="s">
        <v>818</v>
      </c>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41"/>
      <c r="AB30" s="41"/>
      <c r="AC30" s="41"/>
      <c r="AD30" s="41"/>
      <c r="AE30" s="41"/>
      <c r="AF30" s="41"/>
      <c r="AG30" s="41"/>
      <c r="AH30" s="41"/>
      <c r="AI30" s="41"/>
      <c r="AJ30" s="41"/>
      <c r="AK30" s="41"/>
      <c r="AL30" s="41"/>
      <c r="AM30" s="41"/>
      <c r="AN30" s="8"/>
    </row>
    <row r="31" spans="1:40" ht="12.75" customHeight="1">
      <c r="A31" s="222" t="s">
        <v>153</v>
      </c>
      <c r="C31" s="222"/>
      <c r="D31" s="222"/>
      <c r="E31" s="222"/>
      <c r="F31" s="222"/>
      <c r="G31" s="222"/>
      <c r="H31" s="222"/>
      <c r="I31" s="222"/>
      <c r="J31" s="222"/>
      <c r="K31" s="222"/>
      <c r="L31" s="222"/>
      <c r="M31" s="222"/>
      <c r="N31" s="222"/>
      <c r="O31" s="222"/>
      <c r="P31" s="222"/>
      <c r="Q31" s="222"/>
      <c r="R31" s="222"/>
      <c r="S31" s="222"/>
      <c r="T31" s="222"/>
      <c r="U31" s="222"/>
      <c r="V31" s="222"/>
      <c r="W31" s="222"/>
      <c r="X31" s="222"/>
      <c r="Y31" s="222"/>
      <c r="Z31" s="222"/>
      <c r="AA31" s="41"/>
      <c r="AB31" s="41"/>
      <c r="AC31" s="41"/>
      <c r="AD31" s="41"/>
      <c r="AE31" s="41"/>
      <c r="AF31" s="41"/>
      <c r="AG31" s="41"/>
      <c r="AH31" s="41"/>
      <c r="AI31" s="41"/>
      <c r="AJ31" s="41"/>
      <c r="AK31" s="41"/>
      <c r="AL31" s="41"/>
      <c r="AM31" s="41"/>
      <c r="AN31" s="8"/>
    </row>
    <row r="32" spans="1:40" ht="12.75" customHeight="1">
      <c r="A32" s="222"/>
      <c r="C32" s="222"/>
      <c r="D32" s="222"/>
      <c r="E32" s="222"/>
      <c r="F32" s="222"/>
      <c r="G32" s="222"/>
      <c r="H32" s="222"/>
      <c r="I32" s="222"/>
      <c r="J32" s="222"/>
      <c r="K32" s="222"/>
      <c r="L32" s="222"/>
      <c r="M32" s="222"/>
      <c r="N32" s="222"/>
      <c r="O32" s="222"/>
      <c r="P32" s="222"/>
      <c r="Q32" s="222"/>
      <c r="R32" s="222"/>
      <c r="S32" s="222"/>
      <c r="T32" s="222"/>
      <c r="U32" s="222"/>
      <c r="V32" s="222"/>
      <c r="W32" s="222"/>
      <c r="X32" s="222"/>
      <c r="Y32" s="222"/>
      <c r="Z32" s="222"/>
      <c r="AA32" s="41"/>
      <c r="AB32" s="41"/>
      <c r="AC32" s="41"/>
      <c r="AD32" s="41"/>
      <c r="AE32" s="41"/>
      <c r="AF32" s="41"/>
      <c r="AG32" s="41"/>
      <c r="AH32" s="41"/>
      <c r="AI32" s="41"/>
      <c r="AJ32" s="41"/>
      <c r="AK32" s="40"/>
      <c r="AL32" s="42"/>
      <c r="AM32" s="42"/>
    </row>
    <row r="33" spans="1:39" s="50" customFormat="1" ht="12.75" customHeight="1">
      <c r="A33" s="427" t="s">
        <v>1504</v>
      </c>
      <c r="C33" s="427"/>
      <c r="D33" s="427"/>
      <c r="E33" s="427"/>
      <c r="F33" s="427"/>
      <c r="G33" s="427"/>
      <c r="H33" s="427"/>
      <c r="I33" s="427"/>
      <c r="J33" s="427"/>
      <c r="K33" s="427"/>
      <c r="L33" s="427"/>
      <c r="M33" s="427"/>
      <c r="N33" s="427"/>
      <c r="O33" s="1786" t="s">
        <v>136</v>
      </c>
      <c r="P33" s="1786"/>
      <c r="Q33" s="427" t="s">
        <v>1505</v>
      </c>
      <c r="S33" s="427"/>
      <c r="T33" s="427"/>
      <c r="U33" s="427"/>
      <c r="V33" s="427"/>
      <c r="W33" s="427"/>
      <c r="X33" s="427"/>
      <c r="Y33" s="427"/>
      <c r="Z33" s="427"/>
      <c r="AA33" s="428"/>
      <c r="AB33" s="428"/>
      <c r="AC33" s="428"/>
      <c r="AD33" s="428"/>
      <c r="AE33" s="428"/>
      <c r="AF33" s="428"/>
      <c r="AG33" s="428"/>
      <c r="AH33" s="428"/>
      <c r="AI33" s="428"/>
      <c r="AJ33" s="428"/>
      <c r="AK33" s="428"/>
      <c r="AL33" s="428"/>
      <c r="AM33" s="428"/>
    </row>
    <row r="34" spans="1:39" s="50" customFormat="1" ht="12.75" customHeight="1">
      <c r="A34" s="391" t="s">
        <v>2154</v>
      </c>
      <c r="C34" s="427"/>
      <c r="D34" s="427"/>
      <c r="E34" s="427"/>
      <c r="F34" s="427"/>
      <c r="G34" s="427"/>
      <c r="H34" s="427"/>
      <c r="I34" s="427"/>
      <c r="J34" s="427"/>
      <c r="K34" s="427"/>
      <c r="L34" s="427"/>
      <c r="M34" s="427"/>
      <c r="N34" s="427"/>
      <c r="O34" s="427"/>
      <c r="P34" s="427"/>
      <c r="Q34" s="427"/>
      <c r="R34" s="427"/>
      <c r="S34" s="427"/>
      <c r="T34" s="427"/>
      <c r="U34" s="427"/>
      <c r="V34" s="427"/>
      <c r="W34" s="427"/>
      <c r="X34" s="427"/>
      <c r="Y34" s="427"/>
      <c r="Z34" s="427"/>
      <c r="AA34" s="428"/>
      <c r="AB34" s="428"/>
      <c r="AC34" s="428"/>
      <c r="AD34" s="428"/>
      <c r="AE34" s="428"/>
      <c r="AF34" s="428"/>
      <c r="AG34" s="428"/>
      <c r="AH34" s="428"/>
      <c r="AI34" s="428"/>
      <c r="AJ34" s="428"/>
      <c r="AK34" s="428"/>
      <c r="AL34" s="428"/>
      <c r="AM34" s="428"/>
    </row>
    <row r="35" spans="1:39" s="50" customFormat="1" ht="12.75" customHeight="1">
      <c r="A35" s="136" t="s">
        <v>1506</v>
      </c>
      <c r="C35" s="427"/>
      <c r="D35" s="427"/>
      <c r="E35" s="427"/>
      <c r="F35" s="427"/>
      <c r="G35" s="427"/>
      <c r="H35" s="427"/>
      <c r="I35" s="427"/>
      <c r="J35" s="427"/>
      <c r="K35" s="427"/>
      <c r="L35" s="427"/>
      <c r="M35" s="427"/>
      <c r="N35" s="427"/>
      <c r="O35" s="427"/>
      <c r="P35" s="427"/>
      <c r="Q35" s="427"/>
      <c r="R35" s="427"/>
      <c r="S35" s="427"/>
      <c r="T35" s="427"/>
      <c r="U35" s="427"/>
      <c r="V35" s="427"/>
      <c r="W35" s="427"/>
      <c r="X35" s="427"/>
      <c r="Y35" s="427"/>
      <c r="Z35" s="427"/>
      <c r="AA35" s="428"/>
      <c r="AB35" s="428"/>
      <c r="AC35" s="428"/>
      <c r="AD35" s="428"/>
      <c r="AE35" s="428"/>
      <c r="AF35" s="428"/>
      <c r="AG35" s="428"/>
      <c r="AH35" s="428"/>
      <c r="AI35" s="428"/>
      <c r="AJ35" s="428"/>
      <c r="AK35" s="428"/>
      <c r="AL35" s="428"/>
      <c r="AM35" s="428"/>
    </row>
    <row r="36" spans="1:39" s="50" customFormat="1" ht="12.75" customHeight="1">
      <c r="A36" s="391" t="s">
        <v>2157</v>
      </c>
      <c r="C36" s="427"/>
      <c r="D36" s="427"/>
      <c r="E36" s="427"/>
      <c r="F36" s="427"/>
      <c r="G36" s="427"/>
      <c r="H36" s="427"/>
      <c r="I36" s="427"/>
      <c r="J36" s="427"/>
      <c r="K36" s="427"/>
      <c r="L36" s="427"/>
      <c r="M36" s="427"/>
      <c r="N36" s="427"/>
      <c r="O36" s="427"/>
      <c r="P36" s="427"/>
      <c r="Q36" s="427"/>
      <c r="R36" s="427"/>
      <c r="S36" s="427"/>
      <c r="T36" s="427"/>
      <c r="U36" s="427"/>
      <c r="V36" s="427"/>
      <c r="W36" s="427"/>
      <c r="X36" s="427"/>
      <c r="Y36" s="427"/>
      <c r="Z36" s="427"/>
      <c r="AA36" s="428"/>
      <c r="AB36" s="428"/>
      <c r="AC36" s="428"/>
      <c r="AD36" s="428"/>
      <c r="AE36" s="428"/>
      <c r="AF36" s="428"/>
      <c r="AG36" s="428"/>
      <c r="AH36" s="428"/>
      <c r="AI36" s="428"/>
      <c r="AJ36" s="428"/>
      <c r="AK36" s="428"/>
      <c r="AL36" s="428"/>
      <c r="AM36" s="428"/>
    </row>
    <row r="37" spans="1:39" ht="12.75" customHeight="1">
      <c r="A37" s="50" t="s">
        <v>2155</v>
      </c>
      <c r="C37" s="222"/>
      <c r="D37" s="222"/>
      <c r="E37" s="222"/>
      <c r="F37" s="222"/>
      <c r="G37" s="222"/>
      <c r="H37" s="222"/>
      <c r="I37" s="222"/>
      <c r="J37" s="222"/>
      <c r="K37" s="222"/>
      <c r="L37" s="222"/>
      <c r="M37" s="222"/>
      <c r="N37" s="222"/>
      <c r="O37" s="222"/>
      <c r="P37" s="222"/>
      <c r="Q37" s="222"/>
      <c r="R37" s="222"/>
      <c r="S37" s="222"/>
      <c r="T37" s="222"/>
      <c r="U37" s="222"/>
      <c r="V37" s="222"/>
      <c r="W37" s="222"/>
      <c r="X37" s="222"/>
      <c r="Y37" s="222"/>
      <c r="Z37" s="222"/>
      <c r="AA37" s="41"/>
      <c r="AB37" s="41"/>
      <c r="AC37" s="41"/>
      <c r="AD37" s="41"/>
      <c r="AE37" s="41"/>
      <c r="AF37" s="41"/>
      <c r="AG37" s="41"/>
      <c r="AH37" s="41"/>
      <c r="AI37" s="41"/>
      <c r="AJ37" s="41"/>
      <c r="AK37" s="41"/>
      <c r="AL37" s="41"/>
      <c r="AM37" s="41"/>
    </row>
    <row r="38" spans="1:39" ht="12.75" customHeight="1">
      <c r="A38" s="16" t="s">
        <v>2156</v>
      </c>
      <c r="AM38" s="41"/>
    </row>
    <row r="39" spans="1:39" ht="12.75" customHeight="1">
      <c r="AM39" s="41"/>
    </row>
    <row r="40" spans="1:39" ht="12.75" customHeight="1">
      <c r="A40" s="427" t="s">
        <v>879</v>
      </c>
      <c r="C40" s="222"/>
      <c r="D40" s="222"/>
      <c r="E40" s="222"/>
      <c r="F40" s="222"/>
      <c r="G40" s="222"/>
      <c r="H40" s="222"/>
      <c r="I40" s="222"/>
      <c r="J40" s="222"/>
      <c r="K40" s="222"/>
      <c r="L40" s="222"/>
      <c r="M40" s="222"/>
      <c r="N40" s="222"/>
      <c r="O40" s="222"/>
      <c r="P40" s="222"/>
      <c r="Q40" s="222"/>
      <c r="R40" s="222"/>
      <c r="S40" s="222"/>
      <c r="T40" s="222"/>
      <c r="U40" s="222"/>
      <c r="V40" s="222"/>
      <c r="W40" s="222"/>
      <c r="X40" s="222"/>
      <c r="Y40" s="222"/>
      <c r="Z40" s="222"/>
      <c r="AA40" s="41"/>
      <c r="AB40" s="41"/>
      <c r="AC40" s="41"/>
      <c r="AD40" s="41"/>
      <c r="AE40" s="41"/>
      <c r="AF40" s="41"/>
      <c r="AG40" s="41"/>
      <c r="AH40" s="41"/>
      <c r="AI40" s="41"/>
      <c r="AJ40" s="41"/>
      <c r="AK40" s="41"/>
      <c r="AL40" s="41"/>
      <c r="AM40" s="41"/>
    </row>
    <row r="41" spans="1:39" ht="12.75" customHeight="1">
      <c r="A41" s="429" t="s">
        <v>880</v>
      </c>
      <c r="C41" s="222"/>
      <c r="D41" s="222"/>
      <c r="E41" s="222"/>
      <c r="F41" s="222"/>
      <c r="G41" s="222"/>
      <c r="H41" s="222"/>
      <c r="I41" s="222"/>
      <c r="J41" s="222"/>
      <c r="K41" s="222"/>
      <c r="L41" s="222"/>
      <c r="M41" s="222"/>
      <c r="N41" s="222"/>
      <c r="O41" s="222"/>
      <c r="P41" s="222"/>
      <c r="Q41" s="222"/>
      <c r="R41" s="222"/>
      <c r="S41" s="222"/>
      <c r="T41" s="222"/>
      <c r="U41" s="222"/>
      <c r="V41" s="222"/>
      <c r="W41" s="222"/>
      <c r="X41" s="222"/>
      <c r="Y41" s="222"/>
      <c r="Z41" s="222"/>
      <c r="AA41" s="41"/>
      <c r="AB41" s="41"/>
      <c r="AC41" s="41"/>
      <c r="AD41" s="41"/>
      <c r="AE41" s="41"/>
      <c r="AF41" s="41"/>
      <c r="AG41" s="41"/>
      <c r="AH41" s="41"/>
      <c r="AI41" s="41"/>
      <c r="AJ41" s="41"/>
      <c r="AK41" s="41"/>
      <c r="AL41" s="41"/>
      <c r="AM41" s="41"/>
    </row>
    <row r="42" spans="1:39" ht="12.75" customHeight="1">
      <c r="A42" s="429" t="s">
        <v>881</v>
      </c>
      <c r="C42" s="222"/>
      <c r="D42" s="222"/>
      <c r="E42" s="222"/>
      <c r="F42" s="222"/>
      <c r="G42" s="222"/>
      <c r="H42" s="222"/>
      <c r="I42" s="222"/>
      <c r="J42" s="222"/>
      <c r="K42" s="222"/>
      <c r="L42" s="222"/>
      <c r="M42" s="222"/>
      <c r="N42" s="222"/>
      <c r="O42" s="222"/>
      <c r="P42" s="222"/>
      <c r="Q42" s="222"/>
      <c r="R42" s="222"/>
      <c r="S42" s="222"/>
      <c r="T42" s="222"/>
      <c r="U42" s="222"/>
      <c r="V42" s="222"/>
      <c r="W42" s="222"/>
      <c r="X42" s="222"/>
      <c r="Y42" s="222"/>
      <c r="Z42" s="222"/>
      <c r="AA42" s="41"/>
      <c r="AB42" s="41"/>
      <c r="AC42" s="41"/>
      <c r="AD42" s="41"/>
      <c r="AE42" s="41"/>
      <c r="AF42" s="41"/>
      <c r="AG42" s="41"/>
      <c r="AH42" s="41"/>
      <c r="AI42" s="41"/>
      <c r="AJ42" s="41"/>
      <c r="AK42" s="41"/>
      <c r="AL42" s="41"/>
      <c r="AM42" s="41"/>
    </row>
    <row r="43" spans="1:39" ht="12.75" customHeight="1">
      <c r="A43" s="429" t="s">
        <v>142</v>
      </c>
      <c r="C43" s="222"/>
      <c r="D43" s="222"/>
      <c r="E43" s="222"/>
      <c r="F43" s="222"/>
      <c r="G43" s="222"/>
      <c r="H43" s="222"/>
      <c r="I43" s="222"/>
      <c r="J43" s="222"/>
      <c r="K43" s="222"/>
      <c r="L43" s="222"/>
      <c r="M43" s="222"/>
      <c r="N43" s="222"/>
      <c r="O43" s="222"/>
      <c r="P43" s="222"/>
      <c r="Q43" s="222"/>
      <c r="R43" s="222"/>
      <c r="S43" s="222"/>
      <c r="T43" s="222"/>
      <c r="U43" s="222"/>
      <c r="V43" s="222"/>
      <c r="W43" s="222"/>
      <c r="X43" s="222"/>
      <c r="Y43" s="222"/>
      <c r="Z43" s="222"/>
      <c r="AA43" s="41"/>
      <c r="AB43" s="41"/>
      <c r="AC43" s="41"/>
      <c r="AD43" s="41"/>
      <c r="AE43" s="41"/>
      <c r="AF43" s="41"/>
      <c r="AG43" s="41"/>
      <c r="AH43" s="41"/>
      <c r="AI43" s="41"/>
      <c r="AJ43" s="41"/>
      <c r="AK43" s="41"/>
      <c r="AL43" s="41"/>
      <c r="AM43" s="41"/>
    </row>
    <row r="44" spans="1:39" ht="12.75" customHeight="1">
      <c r="A44" s="325" t="s">
        <v>143</v>
      </c>
      <c r="C44" s="222"/>
      <c r="D44" s="222"/>
      <c r="E44" s="222"/>
      <c r="F44" s="222"/>
      <c r="G44" s="222"/>
      <c r="H44" s="222"/>
      <c r="I44" s="222"/>
      <c r="J44" s="222"/>
      <c r="K44" s="222"/>
      <c r="L44" s="222"/>
      <c r="M44" s="222"/>
      <c r="N44" s="222"/>
      <c r="O44" s="222"/>
      <c r="P44" s="222"/>
      <c r="Q44" s="222"/>
      <c r="R44" s="222"/>
      <c r="S44" s="222"/>
      <c r="T44" s="222"/>
      <c r="U44" s="222"/>
      <c r="V44" s="222"/>
      <c r="W44" s="222"/>
      <c r="X44" s="222"/>
      <c r="Y44" s="222"/>
      <c r="Z44" s="222"/>
      <c r="AA44" s="41"/>
      <c r="AB44" s="41"/>
      <c r="AC44" s="41"/>
      <c r="AD44" s="41"/>
      <c r="AE44" s="41"/>
      <c r="AF44" s="41"/>
      <c r="AG44" s="41"/>
      <c r="AH44" s="41"/>
      <c r="AI44" s="41"/>
      <c r="AJ44" s="41"/>
      <c r="AK44" s="41"/>
      <c r="AL44" s="41"/>
      <c r="AM44" s="42"/>
    </row>
    <row r="45" spans="1:39" ht="12.75" customHeight="1">
      <c r="A45" s="325" t="s">
        <v>144</v>
      </c>
      <c r="C45" s="222"/>
      <c r="D45" s="222"/>
      <c r="E45" s="222"/>
      <c r="F45" s="222"/>
      <c r="G45" s="222"/>
      <c r="H45" s="222"/>
      <c r="I45" s="222"/>
      <c r="J45" s="222"/>
      <c r="K45" s="222"/>
      <c r="L45" s="222"/>
      <c r="M45" s="222"/>
      <c r="N45" s="222"/>
      <c r="O45" s="222"/>
      <c r="P45" s="222"/>
      <c r="Q45" s="222"/>
      <c r="R45" s="222"/>
      <c r="S45" s="222"/>
      <c r="T45" s="222"/>
      <c r="U45" s="222"/>
      <c r="V45" s="222"/>
      <c r="W45" s="222"/>
      <c r="X45" s="222"/>
      <c r="Y45" s="222"/>
      <c r="Z45" s="222"/>
      <c r="AA45" s="41"/>
      <c r="AB45" s="41"/>
      <c r="AC45" s="41"/>
      <c r="AD45" s="41"/>
      <c r="AE45" s="41"/>
      <c r="AF45" s="41"/>
      <c r="AG45" s="41"/>
      <c r="AH45" s="41"/>
      <c r="AI45" s="41"/>
      <c r="AJ45" s="41"/>
      <c r="AK45" s="41"/>
      <c r="AL45" s="41"/>
      <c r="AM45" s="41"/>
    </row>
    <row r="46" spans="1:39" ht="12.75" customHeight="1">
      <c r="A46" s="325" t="s">
        <v>215</v>
      </c>
      <c r="C46" s="222"/>
      <c r="D46" s="222"/>
      <c r="E46" s="222"/>
      <c r="F46" s="222"/>
      <c r="G46" s="222"/>
      <c r="H46" s="222"/>
      <c r="I46" s="222"/>
      <c r="J46" s="222"/>
      <c r="K46" s="222"/>
      <c r="L46" s="222"/>
      <c r="M46" s="222"/>
      <c r="N46" s="222"/>
      <c r="O46" s="222"/>
      <c r="P46" s="222"/>
      <c r="Q46" s="222"/>
      <c r="R46" s="222"/>
      <c r="S46" s="222"/>
      <c r="T46" s="222"/>
      <c r="U46" s="222"/>
      <c r="V46" s="222"/>
      <c r="W46" s="222"/>
      <c r="X46" s="222"/>
      <c r="Y46" s="222"/>
      <c r="Z46" s="222"/>
      <c r="AA46" s="41"/>
      <c r="AB46" s="41"/>
      <c r="AC46" s="41"/>
      <c r="AD46" s="41"/>
      <c r="AE46" s="41"/>
      <c r="AF46" s="41"/>
      <c r="AG46" s="41"/>
      <c r="AH46" s="41"/>
      <c r="AI46" s="41"/>
      <c r="AJ46" s="41"/>
      <c r="AK46" s="41"/>
      <c r="AL46" s="41"/>
      <c r="AM46" s="41"/>
    </row>
    <row r="47" spans="1:39" ht="12.75" customHeight="1">
      <c r="A47" s="325" t="s">
        <v>216</v>
      </c>
      <c r="C47" s="222"/>
      <c r="D47" s="222"/>
      <c r="E47" s="222"/>
      <c r="F47" s="222"/>
      <c r="G47" s="222"/>
      <c r="H47" s="222"/>
      <c r="I47" s="222"/>
      <c r="J47" s="222"/>
      <c r="K47" s="222"/>
      <c r="L47" s="222"/>
      <c r="M47" s="222"/>
      <c r="N47" s="222"/>
      <c r="O47" s="222"/>
      <c r="P47" s="222"/>
      <c r="Q47" s="222"/>
      <c r="R47" s="222"/>
      <c r="S47" s="222"/>
      <c r="T47" s="222"/>
      <c r="U47" s="222"/>
      <c r="V47" s="222"/>
      <c r="W47" s="222"/>
      <c r="X47" s="222"/>
      <c r="Y47" s="222"/>
      <c r="Z47" s="222"/>
      <c r="AA47" s="41"/>
      <c r="AB47" s="41"/>
      <c r="AC47" s="41"/>
      <c r="AD47" s="41"/>
      <c r="AE47" s="41"/>
      <c r="AF47" s="41"/>
      <c r="AG47" s="41"/>
      <c r="AH47" s="41"/>
      <c r="AI47" s="41"/>
      <c r="AJ47" s="41"/>
      <c r="AK47" s="41"/>
      <c r="AL47" s="41"/>
      <c r="AM47" s="41"/>
    </row>
    <row r="48" spans="1:39" ht="12.75" customHeight="1">
      <c r="A48" s="222" t="s">
        <v>217</v>
      </c>
      <c r="C48" s="222"/>
      <c r="D48" s="222"/>
      <c r="E48" s="222"/>
      <c r="F48" s="222"/>
      <c r="G48" s="222"/>
      <c r="H48" s="222"/>
      <c r="I48" s="222"/>
      <c r="J48" s="222"/>
      <c r="K48" s="222"/>
      <c r="L48" s="222"/>
      <c r="M48" s="222"/>
      <c r="N48" s="222"/>
      <c r="O48" s="222"/>
      <c r="P48" s="222"/>
      <c r="Q48" s="222"/>
      <c r="R48" s="222"/>
      <c r="S48" s="222"/>
      <c r="T48" s="222"/>
      <c r="U48" s="222"/>
      <c r="V48" s="222"/>
      <c r="W48" s="222"/>
      <c r="X48" s="222"/>
      <c r="Y48" s="222"/>
      <c r="Z48" s="222"/>
      <c r="AA48" s="41"/>
      <c r="AB48" s="41"/>
      <c r="AC48" s="41"/>
      <c r="AD48" s="41"/>
      <c r="AE48" s="41"/>
      <c r="AF48" s="41"/>
      <c r="AG48" s="41"/>
      <c r="AH48" s="41"/>
      <c r="AI48" s="41"/>
      <c r="AJ48" s="41"/>
      <c r="AK48" s="40"/>
      <c r="AL48" s="42"/>
      <c r="AM48" s="41"/>
    </row>
    <row r="49" spans="1:39" ht="12.75" customHeight="1">
      <c r="A49" s="222" t="s">
        <v>218</v>
      </c>
      <c r="C49" s="222"/>
      <c r="D49" s="222"/>
      <c r="E49" s="222"/>
      <c r="F49" s="222"/>
      <c r="G49" s="222"/>
      <c r="H49" s="222"/>
      <c r="I49" s="222"/>
      <c r="J49" s="222"/>
      <c r="K49" s="222"/>
      <c r="L49" s="222"/>
      <c r="M49" s="222"/>
      <c r="N49" s="222"/>
      <c r="O49" s="222"/>
      <c r="P49" s="222"/>
      <c r="Q49" s="222"/>
      <c r="R49" s="222"/>
      <c r="S49" s="222"/>
      <c r="T49" s="222"/>
      <c r="U49" s="222"/>
      <c r="V49" s="222"/>
      <c r="W49" s="222"/>
      <c r="X49" s="222"/>
      <c r="Y49" s="222"/>
      <c r="Z49" s="222"/>
      <c r="AA49" s="41"/>
      <c r="AB49" s="41"/>
      <c r="AC49" s="41"/>
      <c r="AD49" s="41"/>
      <c r="AE49" s="41"/>
      <c r="AF49" s="41"/>
      <c r="AG49" s="41"/>
      <c r="AH49" s="41"/>
      <c r="AI49" s="41"/>
      <c r="AJ49" s="41"/>
      <c r="AK49" s="40"/>
      <c r="AL49" s="42"/>
      <c r="AM49" s="41"/>
    </row>
    <row r="50" spans="1:39" ht="12.75" customHeight="1">
      <c r="C50" s="222"/>
      <c r="D50" s="222"/>
      <c r="E50" s="222"/>
      <c r="F50" s="222"/>
      <c r="G50" s="222"/>
      <c r="H50" s="222"/>
      <c r="I50" s="222"/>
      <c r="J50" s="222"/>
      <c r="K50" s="222"/>
      <c r="L50" s="222"/>
      <c r="M50" s="222"/>
      <c r="N50" s="222"/>
      <c r="O50" s="222"/>
      <c r="P50" s="222"/>
      <c r="Q50" s="222"/>
      <c r="R50" s="222"/>
      <c r="S50" s="222"/>
      <c r="T50" s="222"/>
      <c r="U50" s="222"/>
      <c r="V50" s="222"/>
      <c r="W50" s="222"/>
      <c r="X50" s="222"/>
      <c r="Y50" s="222"/>
      <c r="Z50" s="222"/>
      <c r="AA50" s="41"/>
      <c r="AB50" s="41"/>
      <c r="AC50" s="41"/>
      <c r="AD50" s="41"/>
      <c r="AE50" s="41"/>
      <c r="AF50" s="41"/>
      <c r="AG50" s="41"/>
      <c r="AH50" s="41"/>
      <c r="AI50" s="41"/>
      <c r="AJ50" s="41"/>
      <c r="AK50" s="41"/>
      <c r="AL50" s="41"/>
      <c r="AM50" s="41"/>
    </row>
    <row r="51" spans="1:39" ht="12.75" customHeight="1">
      <c r="A51" s="222" t="s">
        <v>226</v>
      </c>
      <c r="C51" s="222"/>
      <c r="D51" s="222"/>
      <c r="E51" s="222"/>
      <c r="F51" s="222"/>
      <c r="G51" s="222"/>
      <c r="H51" s="222"/>
      <c r="I51" s="222"/>
      <c r="J51" s="222"/>
      <c r="K51" s="222"/>
      <c r="L51" s="222"/>
      <c r="M51" s="222"/>
      <c r="N51" s="222"/>
      <c r="O51" s="222"/>
      <c r="P51" s="222"/>
      <c r="Q51" s="222"/>
      <c r="R51" s="222"/>
      <c r="S51" s="222"/>
      <c r="T51" s="222"/>
      <c r="U51" s="222"/>
      <c r="V51" s="222"/>
      <c r="W51" s="222"/>
      <c r="X51" s="222"/>
      <c r="Y51" s="222"/>
      <c r="Z51" s="222"/>
      <c r="AA51" s="41"/>
      <c r="AB51" s="41"/>
      <c r="AC51" s="41"/>
      <c r="AD51" s="41"/>
      <c r="AE51" s="41"/>
      <c r="AF51" s="41"/>
      <c r="AG51" s="41"/>
      <c r="AH51" s="41"/>
      <c r="AI51" s="41"/>
      <c r="AJ51" s="41"/>
      <c r="AK51" s="41"/>
      <c r="AL51" s="41"/>
      <c r="AM51" s="43"/>
    </row>
    <row r="52" spans="1:39" ht="12.75" customHeight="1">
      <c r="A52" s="222" t="s">
        <v>1496</v>
      </c>
      <c r="C52" s="222"/>
      <c r="D52" s="222"/>
      <c r="E52" s="222"/>
      <c r="F52" s="222"/>
      <c r="G52" s="222"/>
      <c r="H52" s="222"/>
      <c r="I52" s="222"/>
      <c r="J52" s="222"/>
      <c r="K52" s="222"/>
      <c r="L52" s="222"/>
      <c r="M52" s="222"/>
      <c r="N52" s="222"/>
      <c r="O52" s="222"/>
      <c r="P52" s="222"/>
      <c r="Q52" s="222"/>
      <c r="R52" s="222"/>
      <c r="S52" s="222"/>
      <c r="T52" s="222"/>
      <c r="U52" s="222"/>
      <c r="V52" s="222"/>
      <c r="W52" s="222"/>
      <c r="X52" s="222"/>
      <c r="Y52" s="222"/>
      <c r="Z52" s="222"/>
      <c r="AA52" s="41"/>
      <c r="AB52" s="41"/>
      <c r="AC52" s="41"/>
      <c r="AD52" s="41"/>
      <c r="AE52" s="41"/>
      <c r="AF52" s="41"/>
      <c r="AG52" s="41"/>
      <c r="AH52" s="41"/>
      <c r="AI52" s="41"/>
      <c r="AJ52" s="41"/>
      <c r="AK52" s="41"/>
      <c r="AL52" s="41"/>
      <c r="AM52" s="43"/>
    </row>
    <row r="53" spans="1:39" ht="12.75" customHeight="1">
      <c r="A53" s="222" t="s">
        <v>1305</v>
      </c>
      <c r="C53" s="222"/>
      <c r="D53" s="222"/>
      <c r="E53" s="222"/>
      <c r="F53" s="222"/>
      <c r="G53" s="222"/>
      <c r="H53" s="222"/>
      <c r="I53" s="222"/>
      <c r="J53" s="222"/>
      <c r="K53" s="222"/>
      <c r="L53" s="222"/>
      <c r="M53" s="222"/>
      <c r="N53" s="222"/>
      <c r="O53" s="222"/>
      <c r="P53" s="222"/>
      <c r="Q53" s="222"/>
      <c r="R53" s="222"/>
      <c r="S53" s="222"/>
      <c r="T53" s="222"/>
      <c r="U53" s="222"/>
      <c r="V53" s="222"/>
      <c r="W53" s="222"/>
      <c r="X53" s="222"/>
      <c r="Y53" s="222"/>
      <c r="Z53" s="222"/>
      <c r="AA53" s="41"/>
      <c r="AB53" s="41"/>
      <c r="AC53" s="41"/>
      <c r="AD53" s="41"/>
      <c r="AE53" s="41"/>
      <c r="AF53" s="41"/>
      <c r="AG53" s="41"/>
      <c r="AH53" s="41"/>
      <c r="AI53" s="41"/>
      <c r="AJ53" s="41"/>
      <c r="AK53" s="41"/>
      <c r="AL53" s="41"/>
      <c r="AM53" s="42"/>
    </row>
    <row r="54" spans="1:39" ht="13.2">
      <c r="C54" s="222"/>
      <c r="D54" s="222"/>
      <c r="E54" s="222"/>
      <c r="F54" s="222"/>
      <c r="G54" s="222"/>
      <c r="H54" s="222"/>
      <c r="I54" s="222"/>
      <c r="J54" s="222"/>
      <c r="K54" s="222"/>
      <c r="L54" s="222"/>
      <c r="M54" s="222"/>
      <c r="N54" s="222"/>
      <c r="O54" s="222"/>
      <c r="P54" s="222"/>
      <c r="Q54" s="222"/>
      <c r="R54" s="222"/>
      <c r="S54" s="222"/>
      <c r="T54" s="222"/>
      <c r="U54" s="222"/>
      <c r="V54" s="222"/>
      <c r="W54" s="222"/>
      <c r="X54" s="222"/>
      <c r="Y54" s="222"/>
      <c r="Z54" s="222"/>
      <c r="AA54" s="41"/>
      <c r="AB54" s="41"/>
      <c r="AC54" s="41"/>
      <c r="AD54" s="41"/>
      <c r="AE54" s="41"/>
      <c r="AF54" s="41"/>
      <c r="AG54" s="41"/>
      <c r="AH54" s="41"/>
      <c r="AI54" s="41"/>
      <c r="AJ54" s="41"/>
      <c r="AK54" s="41"/>
      <c r="AL54" s="41"/>
      <c r="AM54" s="42"/>
    </row>
    <row r="55" spans="1:39" ht="13.2">
      <c r="A55" s="222" t="s">
        <v>988</v>
      </c>
      <c r="C55" s="222"/>
      <c r="D55" s="222"/>
      <c r="E55" s="222"/>
      <c r="F55" s="222"/>
      <c r="G55" s="222"/>
      <c r="H55" s="222"/>
      <c r="I55" s="222"/>
      <c r="J55" s="222"/>
      <c r="K55" s="222"/>
      <c r="L55" s="222"/>
      <c r="M55" s="222"/>
      <c r="N55" s="222"/>
      <c r="O55" s="222"/>
      <c r="P55" s="222"/>
      <c r="Q55" s="222"/>
      <c r="R55" s="222"/>
      <c r="S55" s="222"/>
      <c r="T55" s="222"/>
      <c r="U55" s="222"/>
      <c r="V55" s="222"/>
      <c r="W55" s="222"/>
      <c r="X55" s="222"/>
      <c r="Y55" s="222"/>
      <c r="Z55" s="222"/>
      <c r="AA55" s="41"/>
      <c r="AB55" s="41"/>
      <c r="AC55" s="41"/>
      <c r="AD55" s="41"/>
      <c r="AE55" s="41"/>
      <c r="AF55" s="41"/>
      <c r="AG55" s="41"/>
      <c r="AH55" s="41"/>
      <c r="AI55" s="41"/>
      <c r="AJ55" s="41"/>
      <c r="AK55" s="41"/>
      <c r="AL55" s="41"/>
      <c r="AM55" s="42"/>
    </row>
    <row r="56" spans="1:39" ht="13.2">
      <c r="A56" s="325" t="s">
        <v>320</v>
      </c>
      <c r="C56" s="222"/>
      <c r="D56" s="222"/>
      <c r="E56" s="222"/>
      <c r="F56" s="222"/>
      <c r="G56" s="222"/>
      <c r="H56" s="222"/>
      <c r="I56" s="222"/>
      <c r="J56" s="222"/>
      <c r="K56" s="222"/>
      <c r="L56" s="222"/>
      <c r="M56" s="222"/>
      <c r="N56" s="222"/>
      <c r="O56" s="222"/>
      <c r="P56" s="222"/>
      <c r="Q56" s="222"/>
      <c r="R56" s="222"/>
      <c r="S56" s="222"/>
      <c r="T56" s="222"/>
      <c r="U56" s="222"/>
      <c r="V56" s="222"/>
      <c r="W56" s="222"/>
      <c r="X56" s="222"/>
      <c r="Y56" s="222"/>
      <c r="Z56" s="222"/>
      <c r="AA56" s="41"/>
      <c r="AB56" s="41"/>
      <c r="AC56" s="41"/>
      <c r="AD56" s="41"/>
      <c r="AE56" s="41"/>
      <c r="AF56" s="41"/>
      <c r="AG56" s="41"/>
      <c r="AH56" s="41"/>
      <c r="AI56" s="41"/>
      <c r="AJ56" s="41"/>
      <c r="AK56" s="41"/>
      <c r="AL56" s="41"/>
      <c r="AM56" s="41"/>
    </row>
    <row r="57" spans="1:39" ht="12.75" customHeight="1">
      <c r="A57" s="325" t="s">
        <v>88</v>
      </c>
      <c r="C57" s="143"/>
      <c r="D57" s="143"/>
      <c r="E57" s="143"/>
      <c r="F57" s="143"/>
      <c r="G57" s="143"/>
      <c r="H57" s="143"/>
      <c r="I57" s="143"/>
      <c r="J57" s="143"/>
      <c r="K57" s="143"/>
      <c r="L57" s="143"/>
      <c r="M57" s="143"/>
      <c r="N57" s="143"/>
      <c r="O57" s="143"/>
      <c r="P57" s="143"/>
      <c r="Q57" s="143"/>
      <c r="R57" s="143"/>
      <c r="S57" s="143"/>
      <c r="T57" s="143"/>
      <c r="U57" s="143"/>
      <c r="V57" s="143"/>
      <c r="W57" s="143"/>
      <c r="X57" s="143"/>
      <c r="Y57" s="143"/>
      <c r="Z57" s="143"/>
      <c r="AA57" s="43"/>
      <c r="AB57" s="43"/>
      <c r="AC57" s="43"/>
      <c r="AD57" s="43"/>
      <c r="AE57" s="43"/>
      <c r="AF57" s="43"/>
      <c r="AG57" s="43"/>
      <c r="AH57" s="43"/>
      <c r="AI57" s="43"/>
      <c r="AJ57" s="43"/>
      <c r="AK57" s="43"/>
      <c r="AL57" s="43"/>
      <c r="AM57" s="41"/>
    </row>
    <row r="58" spans="1:39" ht="13.2">
      <c r="A58" s="325" t="s">
        <v>89</v>
      </c>
      <c r="C58" s="143"/>
      <c r="D58" s="143"/>
      <c r="E58" s="143"/>
      <c r="F58" s="143"/>
      <c r="G58" s="143"/>
      <c r="H58" s="143"/>
      <c r="I58" s="143"/>
      <c r="J58" s="143"/>
      <c r="K58" s="143"/>
      <c r="L58" s="143"/>
      <c r="M58" s="143"/>
      <c r="N58" s="143"/>
      <c r="O58" s="143"/>
      <c r="P58" s="143"/>
      <c r="Q58" s="143"/>
      <c r="R58" s="143"/>
      <c r="S58" s="143"/>
      <c r="T58" s="143"/>
      <c r="U58" s="143"/>
      <c r="V58" s="143"/>
      <c r="W58" s="143"/>
      <c r="X58" s="143"/>
      <c r="Y58" s="143"/>
      <c r="Z58" s="143"/>
      <c r="AA58" s="43"/>
      <c r="AB58" s="43"/>
      <c r="AC58" s="43"/>
      <c r="AD58" s="43"/>
      <c r="AE58" s="43"/>
      <c r="AF58" s="43"/>
      <c r="AG58" s="43"/>
      <c r="AH58" s="43"/>
      <c r="AI58" s="43"/>
      <c r="AJ58" s="43"/>
      <c r="AK58" s="43"/>
      <c r="AL58" s="43"/>
      <c r="AM58" s="41"/>
    </row>
    <row r="59" spans="1:39" ht="13.2">
      <c r="A59" s="222" t="s">
        <v>90</v>
      </c>
      <c r="C59" s="40"/>
      <c r="D59" s="40"/>
      <c r="E59" s="40"/>
      <c r="F59" s="40"/>
      <c r="G59" s="40"/>
      <c r="H59" s="40"/>
      <c r="I59" s="40"/>
      <c r="J59" s="40"/>
      <c r="K59" s="40"/>
      <c r="L59" s="40"/>
      <c r="M59" s="40"/>
      <c r="N59" s="40"/>
      <c r="O59" s="40"/>
      <c r="P59" s="40"/>
      <c r="Q59" s="40"/>
      <c r="R59" s="40"/>
      <c r="S59" s="40"/>
      <c r="T59" s="40"/>
      <c r="U59" s="40"/>
      <c r="V59" s="40"/>
      <c r="W59" s="40"/>
      <c r="X59" s="40"/>
      <c r="Y59" s="40"/>
      <c r="Z59" s="40"/>
      <c r="AA59" s="42"/>
      <c r="AB59" s="42"/>
      <c r="AC59" s="42"/>
      <c r="AD59" s="42"/>
      <c r="AE59" s="42"/>
      <c r="AF59" s="42"/>
      <c r="AG59" s="42"/>
      <c r="AH59" s="42"/>
      <c r="AI59" s="42"/>
      <c r="AJ59" s="42"/>
      <c r="AK59" s="42"/>
      <c r="AL59" s="42"/>
      <c r="AM59" s="41"/>
    </row>
    <row r="60" spans="1:39" ht="12.75" customHeight="1">
      <c r="A60" s="222" t="s">
        <v>91</v>
      </c>
      <c r="C60" s="40"/>
      <c r="D60" s="40"/>
      <c r="E60" s="40"/>
      <c r="F60" s="40"/>
      <c r="G60" s="40"/>
      <c r="H60" s="40"/>
      <c r="I60" s="40"/>
      <c r="J60" s="40"/>
      <c r="K60" s="40"/>
      <c r="L60" s="40"/>
      <c r="M60" s="40"/>
      <c r="N60" s="40"/>
      <c r="O60" s="40"/>
      <c r="P60" s="40"/>
      <c r="Q60" s="40"/>
      <c r="R60" s="40"/>
      <c r="S60" s="40"/>
      <c r="T60" s="40"/>
      <c r="U60" s="40"/>
      <c r="V60" s="40"/>
      <c r="W60" s="40"/>
      <c r="X60" s="40"/>
      <c r="Y60" s="40"/>
      <c r="Z60" s="40"/>
      <c r="AA60" s="42"/>
      <c r="AB60" s="42"/>
      <c r="AC60" s="42"/>
      <c r="AD60" s="42"/>
      <c r="AE60" s="42"/>
      <c r="AF60" s="42"/>
      <c r="AG60" s="42"/>
      <c r="AH60" s="42"/>
      <c r="AI60" s="42"/>
      <c r="AJ60" s="42"/>
      <c r="AK60" s="42"/>
      <c r="AL60" s="42"/>
      <c r="AM60" s="41"/>
    </row>
    <row r="61" spans="1:39" ht="13.2">
      <c r="C61" s="40"/>
      <c r="D61" s="40"/>
      <c r="E61" s="40"/>
      <c r="F61" s="40"/>
      <c r="G61" s="40"/>
      <c r="H61" s="40"/>
      <c r="I61" s="40"/>
      <c r="J61" s="40"/>
      <c r="K61" s="40"/>
      <c r="L61" s="40"/>
      <c r="M61" s="40"/>
      <c r="N61" s="40"/>
      <c r="O61" s="40"/>
      <c r="P61" s="40"/>
      <c r="Q61" s="40"/>
      <c r="R61" s="40"/>
      <c r="S61" s="40"/>
      <c r="T61" s="40"/>
      <c r="U61" s="40"/>
      <c r="V61" s="40"/>
      <c r="W61" s="40"/>
      <c r="X61" s="40"/>
      <c r="Y61" s="40"/>
      <c r="Z61" s="40"/>
      <c r="AA61" s="42"/>
      <c r="AB61" s="42"/>
      <c r="AC61" s="42"/>
      <c r="AD61" s="42"/>
      <c r="AE61" s="42"/>
      <c r="AF61" s="42"/>
      <c r="AG61" s="42"/>
      <c r="AH61" s="42"/>
      <c r="AI61" s="42"/>
      <c r="AJ61" s="42"/>
      <c r="AK61" s="42"/>
      <c r="AL61" s="42"/>
      <c r="AM61" s="41"/>
    </row>
    <row r="62" spans="1:39" ht="13.2">
      <c r="A62" s="143" t="s">
        <v>337</v>
      </c>
      <c r="C62" s="222"/>
      <c r="D62" s="222"/>
      <c r="E62" s="222"/>
      <c r="F62" s="222"/>
      <c r="G62" s="222"/>
      <c r="H62" s="222"/>
      <c r="I62" s="222"/>
      <c r="J62" s="222"/>
      <c r="K62" s="222"/>
      <c r="L62" s="222"/>
      <c r="M62" s="222"/>
      <c r="N62" s="222"/>
      <c r="O62" s="222"/>
      <c r="P62" s="222"/>
      <c r="Q62" s="222"/>
      <c r="R62" s="222"/>
      <c r="S62" s="222"/>
      <c r="T62" s="222"/>
      <c r="U62" s="222"/>
      <c r="V62" s="222"/>
      <c r="W62" s="222"/>
      <c r="X62" s="222"/>
      <c r="Y62" s="222"/>
      <c r="Z62" s="222"/>
      <c r="AA62" s="41"/>
      <c r="AB62" s="41"/>
      <c r="AC62" s="41"/>
      <c r="AD62" s="41"/>
      <c r="AE62" s="41"/>
      <c r="AF62" s="41"/>
      <c r="AG62" s="41"/>
      <c r="AH62" s="41"/>
      <c r="AI62" s="41"/>
      <c r="AJ62" s="41"/>
      <c r="AK62" s="41"/>
      <c r="AL62" s="41"/>
      <c r="AM62" s="41"/>
    </row>
    <row r="63" spans="1:39" ht="13.2">
      <c r="A63" s="143" t="s">
        <v>338</v>
      </c>
      <c r="C63" s="222"/>
      <c r="D63" s="222"/>
      <c r="E63" s="222"/>
      <c r="F63" s="222"/>
      <c r="G63" s="222"/>
      <c r="H63" s="222"/>
      <c r="I63" s="222"/>
      <c r="J63" s="222"/>
      <c r="K63" s="222"/>
      <c r="L63" s="222"/>
      <c r="M63" s="222"/>
      <c r="N63" s="222"/>
      <c r="O63" s="222"/>
      <c r="P63" s="222"/>
      <c r="Q63" s="222"/>
      <c r="R63" s="222"/>
      <c r="S63" s="222"/>
      <c r="T63" s="222"/>
      <c r="U63" s="222"/>
      <c r="V63" s="222"/>
      <c r="W63" s="222"/>
      <c r="X63" s="222"/>
      <c r="Y63" s="222"/>
      <c r="Z63" s="222"/>
      <c r="AA63" s="41"/>
      <c r="AB63" s="41"/>
      <c r="AC63" s="41"/>
      <c r="AD63" s="41"/>
      <c r="AE63" s="41"/>
      <c r="AF63" s="41"/>
      <c r="AG63" s="41"/>
      <c r="AH63" s="41"/>
      <c r="AI63" s="41"/>
      <c r="AJ63" s="41"/>
      <c r="AK63" s="41"/>
      <c r="AL63" s="41"/>
      <c r="AM63" s="41"/>
    </row>
    <row r="64" spans="1:39" ht="12.75" customHeight="1">
      <c r="C64" s="222"/>
      <c r="D64" s="222"/>
      <c r="E64" s="222"/>
      <c r="F64" s="222"/>
      <c r="G64" s="222"/>
      <c r="H64" s="222"/>
      <c r="I64" s="222"/>
      <c r="J64" s="222"/>
      <c r="K64" s="222"/>
      <c r="L64" s="222"/>
      <c r="M64" s="222"/>
      <c r="N64" s="222"/>
      <c r="O64" s="222"/>
      <c r="P64" s="222"/>
      <c r="Q64" s="222"/>
      <c r="R64" s="222"/>
      <c r="S64" s="222"/>
      <c r="T64" s="222"/>
      <c r="U64" s="222"/>
      <c r="V64" s="222"/>
      <c r="W64" s="222"/>
      <c r="X64" s="222"/>
      <c r="Y64" s="222"/>
      <c r="Z64" s="222"/>
      <c r="AA64" s="41"/>
      <c r="AB64" s="41"/>
      <c r="AC64" s="41"/>
      <c r="AD64" s="41"/>
      <c r="AE64" s="41"/>
      <c r="AF64" s="41"/>
      <c r="AG64" s="41"/>
      <c r="AH64" s="41"/>
      <c r="AI64" s="41"/>
      <c r="AJ64" s="41"/>
      <c r="AK64" s="41"/>
      <c r="AL64" s="41"/>
      <c r="AM64" s="41"/>
    </row>
    <row r="65" spans="1:39" ht="12.75" customHeight="1">
      <c r="A65" s="222" t="s">
        <v>1339</v>
      </c>
      <c r="C65" s="222"/>
      <c r="D65" s="222"/>
      <c r="E65" s="222"/>
      <c r="F65" s="222"/>
      <c r="G65" s="222"/>
      <c r="H65" s="222"/>
      <c r="I65" s="222"/>
      <c r="J65" s="222"/>
      <c r="K65" s="222"/>
      <c r="L65" s="222"/>
      <c r="M65" s="222"/>
      <c r="N65" s="222"/>
      <c r="O65" s="222"/>
      <c r="P65" s="222"/>
      <c r="Q65" s="222"/>
      <c r="R65" s="222"/>
      <c r="S65" s="222"/>
      <c r="T65" s="222"/>
      <c r="U65" s="222"/>
      <c r="V65" s="222"/>
      <c r="W65" s="222"/>
      <c r="X65" s="222"/>
      <c r="Y65" s="222"/>
      <c r="Z65" s="222"/>
      <c r="AA65" s="41"/>
      <c r="AB65" s="41"/>
      <c r="AC65" s="41"/>
      <c r="AD65" s="41"/>
      <c r="AE65" s="41"/>
      <c r="AF65" s="41"/>
      <c r="AG65" s="41"/>
      <c r="AH65" s="41"/>
      <c r="AI65" s="41"/>
      <c r="AJ65" s="41"/>
      <c r="AK65" s="41"/>
      <c r="AL65" s="41"/>
      <c r="AM65" s="41"/>
    </row>
    <row r="66" spans="1:39" ht="12.75" customHeight="1">
      <c r="A66" s="325" t="s">
        <v>1363</v>
      </c>
      <c r="C66" s="222"/>
      <c r="D66" s="222"/>
      <c r="E66" s="222"/>
      <c r="F66" s="222"/>
      <c r="G66" s="222"/>
      <c r="H66" s="222"/>
      <c r="I66" s="222"/>
      <c r="J66" s="222"/>
      <c r="K66" s="222"/>
      <c r="L66" s="222"/>
      <c r="M66" s="222"/>
      <c r="N66" s="222"/>
      <c r="O66" s="222"/>
      <c r="P66" s="222"/>
      <c r="Q66" s="222"/>
      <c r="R66" s="222"/>
      <c r="S66" s="222"/>
      <c r="T66" s="222"/>
      <c r="U66" s="222"/>
      <c r="V66" s="222"/>
      <c r="W66" s="222"/>
      <c r="X66" s="222"/>
      <c r="Y66" s="222"/>
      <c r="Z66" s="222"/>
      <c r="AA66" s="41"/>
      <c r="AB66" s="41"/>
      <c r="AC66" s="41"/>
      <c r="AD66" s="41"/>
      <c r="AE66" s="41"/>
      <c r="AF66" s="41"/>
      <c r="AG66" s="41"/>
      <c r="AH66" s="41"/>
      <c r="AI66" s="41"/>
      <c r="AJ66" s="41"/>
      <c r="AK66" s="41"/>
      <c r="AL66" s="41"/>
      <c r="AM66" s="41"/>
    </row>
    <row r="67" spans="1:39" ht="12.75" customHeight="1">
      <c r="A67" s="325" t="s">
        <v>1306</v>
      </c>
      <c r="C67" s="222"/>
      <c r="D67" s="222"/>
      <c r="E67" s="222"/>
      <c r="F67" s="222"/>
      <c r="G67" s="222"/>
      <c r="H67" s="222"/>
      <c r="I67" s="222"/>
      <c r="J67" s="222"/>
      <c r="K67" s="222"/>
      <c r="L67" s="222"/>
      <c r="M67" s="222"/>
      <c r="N67" s="222"/>
      <c r="O67" s="222"/>
      <c r="P67" s="222"/>
      <c r="Q67" s="222"/>
      <c r="R67" s="222"/>
      <c r="S67" s="222"/>
      <c r="T67" s="222"/>
      <c r="U67" s="222"/>
      <c r="V67" s="222"/>
      <c r="W67" s="222"/>
      <c r="X67" s="222"/>
      <c r="Y67" s="222"/>
      <c r="Z67" s="222"/>
      <c r="AA67" s="41"/>
      <c r="AB67" s="41"/>
      <c r="AC67" s="41"/>
      <c r="AD67" s="41"/>
      <c r="AE67" s="41"/>
      <c r="AF67" s="41"/>
      <c r="AG67" s="41"/>
      <c r="AH67" s="41"/>
      <c r="AI67" s="41"/>
      <c r="AJ67" s="41"/>
      <c r="AK67" s="41"/>
      <c r="AL67" s="41"/>
      <c r="AM67" s="41"/>
    </row>
    <row r="68" spans="1:39" ht="13.2">
      <c r="A68" s="325" t="s">
        <v>1308</v>
      </c>
      <c r="C68" s="222"/>
      <c r="D68" s="222"/>
      <c r="E68" s="222"/>
      <c r="F68" s="222"/>
      <c r="G68" s="222"/>
      <c r="H68" s="222"/>
      <c r="I68" s="222"/>
      <c r="J68" s="222"/>
      <c r="K68" s="222"/>
      <c r="L68" s="222"/>
      <c r="M68" s="222"/>
      <c r="N68" s="222"/>
      <c r="O68" s="222"/>
      <c r="P68" s="222"/>
      <c r="Q68" s="222"/>
      <c r="R68" s="222"/>
      <c r="S68" s="222"/>
      <c r="T68" s="222"/>
      <c r="U68" s="222"/>
      <c r="V68" s="222"/>
      <c r="W68" s="222"/>
      <c r="X68" s="222"/>
      <c r="Y68" s="222"/>
      <c r="Z68" s="222"/>
      <c r="AA68" s="41"/>
      <c r="AB68" s="41"/>
      <c r="AC68" s="41"/>
      <c r="AD68" s="41"/>
      <c r="AE68" s="41"/>
      <c r="AF68" s="41"/>
      <c r="AG68" s="41"/>
      <c r="AH68" s="41"/>
      <c r="AI68" s="41"/>
      <c r="AJ68" s="41"/>
      <c r="AK68" s="41"/>
      <c r="AL68" s="41"/>
      <c r="AM68" s="41"/>
    </row>
    <row r="69" spans="1:39" ht="13.2">
      <c r="A69" s="325" t="s">
        <v>1307</v>
      </c>
      <c r="C69" s="222"/>
      <c r="D69" s="222"/>
      <c r="E69" s="222"/>
      <c r="F69" s="222"/>
      <c r="G69" s="222"/>
      <c r="H69" s="222"/>
      <c r="I69" s="222"/>
      <c r="J69" s="222"/>
      <c r="K69" s="222"/>
      <c r="L69" s="222"/>
      <c r="M69" s="222"/>
      <c r="N69" s="222"/>
      <c r="O69" s="222"/>
      <c r="P69" s="222"/>
      <c r="Q69" s="222"/>
      <c r="R69" s="222"/>
      <c r="S69" s="222"/>
      <c r="T69" s="222"/>
      <c r="U69" s="222"/>
      <c r="V69" s="222"/>
      <c r="W69" s="222"/>
      <c r="X69" s="222"/>
      <c r="Y69" s="222"/>
      <c r="Z69" s="222"/>
      <c r="AA69" s="41"/>
      <c r="AB69" s="41"/>
      <c r="AC69" s="41"/>
      <c r="AD69" s="41"/>
      <c r="AE69" s="41"/>
      <c r="AF69" s="41"/>
      <c r="AG69" s="41"/>
      <c r="AH69" s="41"/>
      <c r="AI69" s="41"/>
      <c r="AJ69" s="41"/>
      <c r="AK69" s="41"/>
      <c r="AL69" s="41"/>
      <c r="AM69" s="41"/>
    </row>
    <row r="70" spans="1:39" ht="13.2">
      <c r="A70" s="222" t="s">
        <v>34</v>
      </c>
      <c r="C70" s="222"/>
      <c r="D70" s="222"/>
      <c r="E70" s="222"/>
      <c r="F70" s="222"/>
      <c r="G70" s="222"/>
      <c r="H70" s="222"/>
      <c r="I70" s="222"/>
      <c r="J70" s="222"/>
      <c r="K70" s="222"/>
      <c r="L70" s="222"/>
      <c r="M70" s="222"/>
      <c r="N70" s="222"/>
      <c r="O70" s="222"/>
      <c r="P70" s="222"/>
      <c r="Q70" s="222"/>
      <c r="R70" s="222"/>
      <c r="S70" s="222"/>
      <c r="T70" s="222"/>
      <c r="U70" s="222"/>
      <c r="V70" s="222"/>
      <c r="W70" s="222"/>
      <c r="X70" s="222"/>
      <c r="Y70" s="222"/>
      <c r="Z70" s="222"/>
      <c r="AA70" s="41"/>
      <c r="AB70" s="41"/>
      <c r="AC70" s="41"/>
      <c r="AD70" s="41"/>
      <c r="AE70" s="41"/>
      <c r="AF70" s="41"/>
      <c r="AG70" s="41"/>
      <c r="AH70" s="41"/>
      <c r="AI70" s="41"/>
      <c r="AJ70" s="41"/>
      <c r="AK70" s="41"/>
      <c r="AL70" s="41"/>
      <c r="AM70" s="41"/>
    </row>
    <row r="71" spans="1:39" ht="12.75" customHeight="1">
      <c r="A71" s="222" t="s">
        <v>1150</v>
      </c>
      <c r="C71" s="222"/>
      <c r="D71" s="222"/>
      <c r="E71" s="222"/>
      <c r="F71" s="222"/>
      <c r="G71" s="222"/>
      <c r="H71" s="222"/>
      <c r="I71" s="222"/>
      <c r="J71" s="222"/>
      <c r="K71" s="222"/>
      <c r="L71" s="222"/>
      <c r="M71" s="222"/>
      <c r="N71" s="222"/>
      <c r="O71" s="222"/>
      <c r="P71" s="222"/>
      <c r="Q71" s="222"/>
      <c r="R71" s="222"/>
      <c r="S71" s="222"/>
      <c r="T71" s="222"/>
      <c r="U71" s="222"/>
      <c r="V71" s="222"/>
      <c r="W71" s="222"/>
      <c r="X71" s="222"/>
      <c r="Y71" s="222"/>
      <c r="Z71" s="222"/>
      <c r="AA71" s="41"/>
      <c r="AB71" s="41"/>
      <c r="AC71" s="41"/>
      <c r="AD71" s="41"/>
      <c r="AE71" s="41"/>
      <c r="AF71" s="41"/>
      <c r="AG71" s="41"/>
      <c r="AH71" s="41"/>
      <c r="AI71" s="41"/>
      <c r="AJ71" s="41"/>
      <c r="AK71" s="41"/>
      <c r="AL71" s="41"/>
      <c r="AM71" s="41"/>
    </row>
    <row r="72" spans="1:39" ht="14.1" customHeight="1">
      <c r="C72" s="222"/>
      <c r="D72" s="222"/>
      <c r="E72" s="222"/>
      <c r="F72" s="222"/>
      <c r="G72" s="222"/>
      <c r="H72" s="222"/>
      <c r="I72" s="222"/>
      <c r="J72" s="222"/>
      <c r="K72" s="222"/>
      <c r="L72" s="222"/>
      <c r="M72" s="222"/>
      <c r="N72" s="222"/>
      <c r="O72" s="222"/>
      <c r="P72" s="222"/>
      <c r="Q72" s="222"/>
      <c r="R72" s="222"/>
      <c r="S72" s="222"/>
      <c r="T72" s="222"/>
      <c r="U72" s="222"/>
      <c r="V72" s="222"/>
      <c r="W72" s="222"/>
      <c r="X72" s="222"/>
      <c r="Y72" s="222"/>
      <c r="Z72" s="222"/>
      <c r="AA72" s="41"/>
      <c r="AB72" s="41"/>
      <c r="AC72" s="41"/>
      <c r="AD72" s="41"/>
      <c r="AE72" s="41"/>
      <c r="AF72" s="41"/>
      <c r="AG72" s="41"/>
      <c r="AH72" s="41"/>
      <c r="AI72" s="41"/>
      <c r="AJ72" s="41"/>
      <c r="AK72" s="41"/>
      <c r="AL72" s="41"/>
      <c r="AM72" s="41"/>
    </row>
    <row r="73" spans="1:39" ht="14.1" customHeight="1">
      <c r="A73" s="222" t="s">
        <v>24</v>
      </c>
      <c r="C73" s="222"/>
      <c r="D73" s="222"/>
      <c r="E73" s="222"/>
      <c r="F73" s="222"/>
      <c r="G73" s="222"/>
      <c r="H73" s="222"/>
      <c r="I73" s="222"/>
      <c r="J73" s="222"/>
      <c r="K73" s="222"/>
      <c r="L73" s="222"/>
      <c r="M73" s="222"/>
      <c r="N73" s="222"/>
      <c r="O73" s="222"/>
      <c r="P73" s="222"/>
      <c r="Q73" s="222"/>
      <c r="R73" s="222"/>
      <c r="S73" s="222"/>
      <c r="T73" s="222"/>
      <c r="U73" s="222"/>
      <c r="V73" s="222"/>
      <c r="W73" s="222"/>
      <c r="X73" s="222"/>
      <c r="Y73" s="222"/>
      <c r="Z73" s="222"/>
      <c r="AA73" s="41"/>
      <c r="AB73" s="41"/>
      <c r="AC73" s="41"/>
      <c r="AD73" s="41"/>
      <c r="AE73" s="41"/>
      <c r="AF73" s="41"/>
      <c r="AG73" s="41"/>
      <c r="AH73" s="41"/>
      <c r="AI73" s="41"/>
      <c r="AJ73" s="41"/>
      <c r="AK73" s="41"/>
      <c r="AL73" s="41"/>
      <c r="AM73" s="37"/>
    </row>
    <row r="74" spans="1:39" ht="12.75" customHeight="1">
      <c r="A74" s="222" t="s">
        <v>25</v>
      </c>
      <c r="C74" s="222"/>
      <c r="D74" s="222"/>
      <c r="E74" s="222"/>
      <c r="F74" s="222"/>
      <c r="G74" s="222"/>
      <c r="H74" s="222"/>
      <c r="I74" s="222"/>
      <c r="J74" s="222"/>
      <c r="K74" s="222"/>
      <c r="L74" s="222"/>
      <c r="M74" s="222"/>
      <c r="N74" s="222"/>
      <c r="O74" s="222"/>
      <c r="P74" s="222"/>
      <c r="Q74" s="222"/>
      <c r="R74" s="222"/>
      <c r="S74" s="222"/>
      <c r="T74" s="222"/>
      <c r="U74" s="222"/>
      <c r="V74" s="222"/>
      <c r="W74" s="222"/>
      <c r="X74" s="222"/>
      <c r="Y74" s="222"/>
      <c r="Z74" s="222"/>
      <c r="AA74" s="41"/>
      <c r="AB74" s="41"/>
      <c r="AC74" s="41"/>
      <c r="AD74" s="41"/>
      <c r="AE74" s="41"/>
      <c r="AF74" s="41"/>
      <c r="AG74" s="41"/>
      <c r="AH74" s="41"/>
      <c r="AI74" s="41"/>
      <c r="AJ74" s="41"/>
      <c r="AK74" s="41"/>
      <c r="AL74" s="41"/>
      <c r="AM74" s="37"/>
    </row>
    <row r="75" spans="1:39" ht="13.2">
      <c r="C75" s="222"/>
      <c r="D75" s="222"/>
      <c r="E75" s="222"/>
      <c r="F75" s="222"/>
      <c r="G75" s="222"/>
      <c r="H75" s="222"/>
      <c r="I75" s="222"/>
      <c r="J75" s="222"/>
      <c r="K75" s="222"/>
      <c r="L75" s="222"/>
      <c r="M75" s="222"/>
      <c r="N75" s="222"/>
      <c r="O75" s="222"/>
      <c r="P75" s="222"/>
      <c r="Q75" s="222"/>
      <c r="R75" s="222"/>
      <c r="S75" s="222"/>
      <c r="T75" s="222"/>
      <c r="U75" s="222"/>
      <c r="V75" s="222"/>
      <c r="W75" s="222"/>
      <c r="X75" s="222"/>
      <c r="Y75" s="222"/>
      <c r="Z75" s="222"/>
      <c r="AA75" s="41"/>
      <c r="AB75" s="41"/>
      <c r="AC75" s="41"/>
      <c r="AD75" s="41"/>
      <c r="AE75" s="41"/>
      <c r="AF75" s="41"/>
      <c r="AG75" s="41"/>
      <c r="AH75" s="41"/>
      <c r="AI75" s="41"/>
      <c r="AJ75" s="41"/>
      <c r="AK75" s="41"/>
      <c r="AL75" s="41"/>
      <c r="AM75" s="37"/>
    </row>
    <row r="76" spans="1:39" ht="13.2">
      <c r="A76" s="222" t="s">
        <v>839</v>
      </c>
      <c r="C76" s="222"/>
      <c r="D76" s="222"/>
      <c r="E76" s="222"/>
      <c r="F76" s="222"/>
      <c r="G76" s="222"/>
      <c r="H76" s="222"/>
      <c r="I76" s="222"/>
      <c r="J76" s="222"/>
      <c r="K76" s="222"/>
      <c r="L76" s="222"/>
      <c r="M76" s="222"/>
      <c r="N76" s="222"/>
      <c r="O76" s="222"/>
      <c r="P76" s="222"/>
      <c r="Q76" s="222"/>
      <c r="R76" s="222"/>
      <c r="S76" s="222"/>
      <c r="T76" s="222"/>
      <c r="U76" s="222"/>
      <c r="V76" s="222"/>
      <c r="W76" s="222"/>
      <c r="X76" s="222"/>
      <c r="Y76" s="222"/>
      <c r="Z76" s="222"/>
      <c r="AA76" s="41"/>
      <c r="AB76" s="41"/>
      <c r="AC76" s="41"/>
      <c r="AD76" s="41"/>
      <c r="AE76" s="41"/>
      <c r="AF76" s="41"/>
      <c r="AG76" s="41"/>
      <c r="AH76" s="41"/>
      <c r="AI76" s="41"/>
      <c r="AJ76" s="41"/>
      <c r="AK76" s="41"/>
      <c r="AL76" s="41"/>
      <c r="AM76" s="41"/>
    </row>
    <row r="77" spans="1:39" ht="12.75" customHeight="1">
      <c r="A77" s="325" t="s">
        <v>857</v>
      </c>
      <c r="C77" s="222"/>
      <c r="D77" s="222"/>
      <c r="E77" s="222"/>
      <c r="F77" s="222"/>
      <c r="G77" s="222"/>
      <c r="H77" s="222"/>
      <c r="I77" s="222"/>
      <c r="J77" s="222"/>
      <c r="K77" s="222"/>
      <c r="L77" s="222"/>
      <c r="M77" s="222"/>
      <c r="N77" s="222"/>
      <c r="O77" s="222"/>
      <c r="P77" s="222"/>
      <c r="Q77" s="222"/>
      <c r="R77" s="222"/>
      <c r="S77" s="222"/>
      <c r="T77" s="222"/>
      <c r="U77" s="222"/>
      <c r="V77" s="222"/>
      <c r="W77" s="222"/>
      <c r="X77" s="222"/>
      <c r="Y77" s="222"/>
      <c r="Z77" s="222"/>
      <c r="AA77" s="41"/>
      <c r="AB77" s="41"/>
      <c r="AC77" s="41"/>
      <c r="AD77" s="41"/>
      <c r="AE77" s="41"/>
      <c r="AF77" s="41"/>
      <c r="AG77" s="41"/>
      <c r="AH77" s="41"/>
      <c r="AI77" s="41"/>
      <c r="AJ77" s="41"/>
      <c r="AK77" s="41"/>
      <c r="AL77" s="41"/>
      <c r="AM77" s="41"/>
    </row>
    <row r="78" spans="1:39" ht="13.2">
      <c r="A78" s="222" t="s">
        <v>858</v>
      </c>
      <c r="C78" s="222"/>
      <c r="D78" s="222"/>
      <c r="E78" s="222"/>
      <c r="F78" s="222"/>
      <c r="G78" s="222"/>
      <c r="H78" s="222"/>
      <c r="I78" s="222"/>
      <c r="J78" s="222"/>
      <c r="K78" s="222"/>
      <c r="L78" s="222"/>
      <c r="M78" s="222"/>
      <c r="N78" s="222"/>
      <c r="O78" s="222"/>
      <c r="P78" s="222"/>
      <c r="Q78" s="222"/>
      <c r="R78" s="222"/>
      <c r="S78" s="222"/>
      <c r="T78" s="222"/>
      <c r="U78" s="222"/>
      <c r="V78" s="222"/>
      <c r="W78" s="222"/>
      <c r="X78" s="222"/>
      <c r="Y78" s="222"/>
      <c r="Z78" s="222"/>
      <c r="AA78" s="41"/>
      <c r="AB78" s="41"/>
      <c r="AC78" s="41"/>
      <c r="AD78" s="41"/>
      <c r="AE78" s="41"/>
      <c r="AF78" s="41"/>
      <c r="AG78" s="41"/>
      <c r="AH78" s="41"/>
      <c r="AI78" s="41"/>
      <c r="AJ78" s="41"/>
      <c r="AK78" s="41"/>
      <c r="AL78" s="41"/>
      <c r="AM78" s="41"/>
    </row>
    <row r="79" spans="1:39" ht="13.2">
      <c r="A79" s="222" t="s">
        <v>394</v>
      </c>
      <c r="C79" s="323"/>
      <c r="D79" s="323"/>
      <c r="E79" s="323"/>
      <c r="F79" s="323"/>
      <c r="G79" s="323"/>
      <c r="H79" s="323"/>
      <c r="I79" s="323"/>
      <c r="J79" s="323"/>
      <c r="K79" s="323"/>
      <c r="L79" s="323"/>
      <c r="M79" s="323"/>
      <c r="N79" s="323"/>
      <c r="O79" s="323"/>
      <c r="P79" s="323"/>
      <c r="Q79" s="323"/>
      <c r="R79" s="323"/>
      <c r="S79" s="323"/>
      <c r="T79" s="323"/>
      <c r="U79" s="323"/>
      <c r="V79" s="323"/>
      <c r="W79" s="323"/>
      <c r="X79" s="323"/>
      <c r="Y79" s="323"/>
      <c r="Z79" s="323"/>
      <c r="AA79" s="37"/>
      <c r="AB79" s="37"/>
      <c r="AC79" s="37"/>
      <c r="AD79" s="37"/>
      <c r="AE79" s="37"/>
      <c r="AF79" s="37"/>
      <c r="AG79" s="37"/>
      <c r="AH79" s="37"/>
      <c r="AI79" s="37"/>
      <c r="AJ79" s="37"/>
      <c r="AK79" s="37"/>
      <c r="AL79" s="37"/>
      <c r="AM79" s="41"/>
    </row>
    <row r="80" spans="1:39" ht="13.2">
      <c r="C80" s="323"/>
      <c r="D80" s="323"/>
      <c r="E80" s="323"/>
      <c r="F80" s="323"/>
      <c r="G80" s="323"/>
      <c r="H80" s="323"/>
      <c r="I80" s="323"/>
      <c r="J80" s="323"/>
      <c r="K80" s="323"/>
      <c r="L80" s="323"/>
      <c r="M80" s="323"/>
      <c r="N80" s="323"/>
      <c r="O80" s="323"/>
      <c r="P80" s="323"/>
      <c r="Q80" s="323"/>
      <c r="R80" s="323"/>
      <c r="S80" s="323"/>
      <c r="T80" s="323"/>
      <c r="U80" s="323"/>
      <c r="V80" s="323"/>
      <c r="W80" s="323"/>
      <c r="X80" s="323"/>
      <c r="Y80" s="323"/>
      <c r="Z80" s="323"/>
      <c r="AA80" s="37"/>
      <c r="AB80" s="37"/>
      <c r="AC80" s="37"/>
      <c r="AD80" s="37"/>
      <c r="AE80" s="37"/>
      <c r="AF80" s="37"/>
      <c r="AG80" s="37"/>
      <c r="AH80" s="37"/>
      <c r="AI80" s="37"/>
      <c r="AJ80" s="37"/>
      <c r="AK80" s="37"/>
      <c r="AL80" s="37"/>
      <c r="AM80" s="41"/>
    </row>
    <row r="81" spans="1:39" ht="12.75" customHeight="1">
      <c r="A81" s="222" t="s">
        <v>1503</v>
      </c>
      <c r="C81" s="323"/>
      <c r="D81" s="323"/>
      <c r="E81" s="323"/>
      <c r="F81" s="323"/>
      <c r="G81" s="323"/>
      <c r="H81" s="323"/>
      <c r="I81" s="323"/>
      <c r="J81" s="323"/>
      <c r="K81" s="323"/>
      <c r="L81" s="323"/>
      <c r="M81" s="323"/>
      <c r="N81" s="323"/>
      <c r="O81" s="323"/>
      <c r="P81" s="323"/>
      <c r="Q81" s="323"/>
      <c r="R81" s="323"/>
      <c r="S81" s="323"/>
      <c r="T81" s="323"/>
      <c r="U81" s="323"/>
      <c r="V81" s="323"/>
      <c r="W81" s="323"/>
      <c r="X81" s="323"/>
      <c r="Y81" s="323"/>
      <c r="Z81" s="323"/>
      <c r="AA81" s="37"/>
      <c r="AB81" s="37"/>
      <c r="AC81" s="37"/>
      <c r="AD81" s="37"/>
      <c r="AE81" s="37"/>
      <c r="AF81" s="37"/>
      <c r="AG81" s="37"/>
      <c r="AH81" s="37"/>
      <c r="AI81" s="37"/>
      <c r="AJ81" s="37"/>
      <c r="AK81" s="37"/>
      <c r="AL81" s="37"/>
      <c r="AM81" s="41"/>
    </row>
    <row r="82" spans="1:39" ht="13.2">
      <c r="A82" s="222" t="s">
        <v>1502</v>
      </c>
      <c r="C82" s="222"/>
      <c r="D82" s="222"/>
      <c r="E82" s="222"/>
      <c r="F82" s="222"/>
      <c r="G82" s="222"/>
      <c r="H82" s="222"/>
      <c r="I82" s="222"/>
      <c r="J82" s="222"/>
      <c r="K82" s="222"/>
      <c r="L82" s="222"/>
      <c r="M82" s="222"/>
      <c r="N82" s="222"/>
      <c r="O82" s="222"/>
      <c r="P82" s="222"/>
      <c r="Q82" s="222"/>
      <c r="R82" s="222"/>
      <c r="S82" s="222"/>
      <c r="T82" s="222"/>
      <c r="U82" s="222"/>
      <c r="V82" s="222"/>
      <c r="W82" s="222"/>
      <c r="X82" s="222"/>
      <c r="Y82" s="222"/>
      <c r="Z82" s="222"/>
      <c r="AA82" s="41"/>
      <c r="AB82" s="41"/>
      <c r="AC82" s="41"/>
      <c r="AD82" s="41"/>
      <c r="AE82" s="41"/>
      <c r="AF82" s="41"/>
      <c r="AG82" s="41"/>
      <c r="AH82" s="41"/>
      <c r="AI82" s="41"/>
      <c r="AJ82" s="41"/>
      <c r="AK82" s="41"/>
      <c r="AL82" s="41"/>
      <c r="AM82" s="41"/>
    </row>
    <row r="83" spans="1:39" ht="13.2">
      <c r="C83" s="222"/>
      <c r="D83" s="222"/>
      <c r="E83" s="222"/>
      <c r="F83" s="222"/>
      <c r="G83" s="222"/>
      <c r="H83" s="222"/>
      <c r="I83" s="222"/>
      <c r="J83" s="222"/>
      <c r="K83" s="222"/>
      <c r="L83" s="222"/>
      <c r="M83" s="222"/>
      <c r="N83" s="222"/>
      <c r="O83" s="222"/>
      <c r="P83" s="222"/>
      <c r="Q83" s="222"/>
      <c r="R83" s="222"/>
      <c r="S83" s="222"/>
      <c r="T83" s="222"/>
      <c r="U83" s="222"/>
      <c r="V83" s="222"/>
      <c r="W83" s="222"/>
      <c r="X83" s="222"/>
      <c r="Y83" s="222"/>
      <c r="Z83" s="222"/>
      <c r="AA83" s="41"/>
      <c r="AB83" s="41"/>
      <c r="AC83" s="41"/>
      <c r="AD83" s="41"/>
      <c r="AE83" s="41"/>
      <c r="AF83" s="41"/>
      <c r="AG83" s="41"/>
      <c r="AH83" s="41"/>
      <c r="AI83" s="41"/>
      <c r="AJ83" s="41"/>
      <c r="AK83" s="41"/>
      <c r="AL83" s="41"/>
      <c r="AM83" s="41"/>
    </row>
    <row r="84" spans="1:39" ht="13.2">
      <c r="A84" s="323" t="s">
        <v>395</v>
      </c>
      <c r="C84" s="222"/>
      <c r="D84" s="222"/>
      <c r="E84" s="222"/>
      <c r="F84" s="222"/>
      <c r="G84" s="222"/>
      <c r="H84" s="222"/>
      <c r="I84" s="222"/>
      <c r="J84" s="222"/>
      <c r="K84" s="222"/>
      <c r="L84" s="222"/>
      <c r="M84" s="222"/>
      <c r="N84" s="222"/>
      <c r="O84" s="222"/>
      <c r="P84" s="222"/>
      <c r="Q84" s="222"/>
      <c r="R84" s="222"/>
      <c r="S84" s="222"/>
      <c r="T84" s="222"/>
      <c r="U84" s="222"/>
      <c r="V84" s="222"/>
      <c r="W84" s="222"/>
      <c r="X84" s="222"/>
      <c r="Y84" s="222"/>
      <c r="Z84" s="222"/>
      <c r="AA84" s="41"/>
      <c r="AB84" s="41"/>
      <c r="AC84" s="41"/>
      <c r="AD84" s="41"/>
      <c r="AE84" s="41"/>
      <c r="AF84" s="41"/>
      <c r="AG84" s="41"/>
      <c r="AH84" s="41"/>
      <c r="AI84" s="41"/>
      <c r="AJ84" s="41"/>
      <c r="AK84" s="41"/>
      <c r="AL84" s="41"/>
    </row>
    <row r="85" spans="1:39" ht="13.2">
      <c r="A85" s="323" t="s">
        <v>396</v>
      </c>
      <c r="C85" s="222"/>
      <c r="D85" s="222"/>
      <c r="E85" s="222"/>
      <c r="F85" s="222"/>
      <c r="G85" s="222"/>
      <c r="H85" s="222"/>
      <c r="I85" s="222"/>
      <c r="J85" s="222"/>
      <c r="K85" s="222"/>
      <c r="L85" s="222"/>
      <c r="M85" s="222"/>
      <c r="N85" s="222"/>
      <c r="O85" s="222"/>
      <c r="P85" s="222"/>
      <c r="Q85" s="222"/>
      <c r="R85" s="222"/>
      <c r="S85" s="222"/>
      <c r="T85" s="222"/>
      <c r="U85" s="222"/>
      <c r="V85" s="222"/>
      <c r="W85" s="222"/>
      <c r="X85" s="222"/>
      <c r="Y85" s="222"/>
      <c r="Z85" s="222"/>
      <c r="AA85" s="41"/>
      <c r="AB85" s="41"/>
      <c r="AC85" s="41"/>
      <c r="AD85" s="41"/>
      <c r="AE85" s="41"/>
      <c r="AF85" s="41"/>
      <c r="AG85" s="41"/>
      <c r="AH85" s="41"/>
      <c r="AI85" s="41"/>
      <c r="AJ85" s="41"/>
      <c r="AK85" s="41"/>
      <c r="AL85" s="41"/>
    </row>
    <row r="86" spans="1:39" ht="13.2"/>
    <row r="87" spans="1:39" ht="13.2">
      <c r="A87" s="222" t="s">
        <v>328</v>
      </c>
      <c r="AM87" s="41"/>
    </row>
    <row r="88" spans="1:39" ht="12.75" customHeight="1">
      <c r="A88" s="222" t="s">
        <v>329</v>
      </c>
      <c r="AM88" s="41"/>
    </row>
    <row r="89" spans="1:39" ht="13.2">
      <c r="A89" s="222" t="s">
        <v>330</v>
      </c>
      <c r="C89" s="222"/>
      <c r="D89" s="222"/>
      <c r="E89" s="222"/>
      <c r="F89" s="222"/>
      <c r="G89" s="222"/>
      <c r="H89" s="222"/>
      <c r="I89" s="222"/>
      <c r="J89" s="222"/>
      <c r="K89" s="222"/>
      <c r="L89" s="222"/>
      <c r="M89" s="222"/>
      <c r="N89" s="222"/>
      <c r="O89" s="222"/>
      <c r="P89" s="222"/>
      <c r="Q89" s="222"/>
      <c r="R89" s="222"/>
      <c r="S89" s="222"/>
      <c r="T89" s="222"/>
      <c r="U89" s="222"/>
      <c r="V89" s="222"/>
      <c r="W89" s="222"/>
      <c r="X89" s="222"/>
      <c r="Y89" s="222"/>
      <c r="Z89" s="222"/>
      <c r="AA89" s="41"/>
      <c r="AB89" s="41"/>
      <c r="AC89" s="41"/>
      <c r="AD89" s="41"/>
      <c r="AE89" s="41"/>
      <c r="AF89" s="41"/>
      <c r="AG89" s="41"/>
      <c r="AH89" s="41"/>
      <c r="AI89" s="41"/>
      <c r="AJ89" s="41"/>
      <c r="AK89" s="41"/>
      <c r="AL89" s="41"/>
      <c r="AM89" s="41"/>
    </row>
    <row r="90" spans="1:39" ht="13.2">
      <c r="C90" s="222"/>
      <c r="D90" s="222"/>
      <c r="E90" s="222"/>
      <c r="F90" s="222"/>
      <c r="G90" s="222"/>
      <c r="H90" s="222"/>
      <c r="I90" s="222"/>
      <c r="J90" s="222"/>
      <c r="K90" s="222"/>
      <c r="L90" s="222"/>
      <c r="M90" s="222"/>
      <c r="N90" s="222"/>
      <c r="O90" s="222"/>
      <c r="P90" s="222"/>
      <c r="Q90" s="222"/>
      <c r="R90" s="222"/>
      <c r="S90" s="222"/>
      <c r="T90" s="222"/>
      <c r="U90" s="222"/>
      <c r="V90" s="222"/>
      <c r="W90" s="222"/>
      <c r="X90" s="222"/>
      <c r="Y90" s="222"/>
      <c r="Z90" s="222"/>
      <c r="AA90" s="41"/>
      <c r="AB90" s="41"/>
      <c r="AC90" s="41"/>
      <c r="AD90" s="41"/>
      <c r="AE90" s="41"/>
      <c r="AF90" s="41"/>
      <c r="AG90" s="41"/>
      <c r="AH90" s="41"/>
      <c r="AI90" s="41"/>
      <c r="AJ90" s="41"/>
      <c r="AK90" s="41"/>
      <c r="AL90" s="41"/>
      <c r="AM90" s="41"/>
    </row>
    <row r="91" spans="1:39" ht="13.2">
      <c r="A91" s="222" t="s">
        <v>872</v>
      </c>
      <c r="C91" s="222"/>
      <c r="D91" s="222"/>
      <c r="E91" s="222"/>
      <c r="F91" s="222"/>
      <c r="G91" s="222"/>
      <c r="H91" s="222"/>
      <c r="I91" s="222"/>
      <c r="J91" s="222"/>
      <c r="K91" s="222"/>
      <c r="L91" s="222"/>
      <c r="M91" s="222"/>
      <c r="N91" s="222"/>
      <c r="O91" s="222"/>
      <c r="P91" s="222"/>
      <c r="Q91" s="222"/>
      <c r="R91" s="222"/>
      <c r="S91" s="222"/>
      <c r="T91" s="222"/>
      <c r="U91" s="222"/>
      <c r="V91" s="222"/>
      <c r="W91" s="222"/>
      <c r="X91" s="222"/>
      <c r="Y91" s="222"/>
      <c r="Z91" s="222"/>
      <c r="AA91" s="41"/>
      <c r="AB91" s="41"/>
      <c r="AC91" s="41"/>
      <c r="AD91" s="41"/>
      <c r="AE91" s="41"/>
      <c r="AF91" s="41"/>
      <c r="AG91" s="41"/>
      <c r="AH91" s="41"/>
      <c r="AI91" s="41"/>
      <c r="AJ91" s="41"/>
      <c r="AK91" s="41"/>
      <c r="AL91" s="41"/>
      <c r="AM91" s="41"/>
    </row>
    <row r="92" spans="1:39" ht="12.75" customHeight="1">
      <c r="A92" s="222" t="s">
        <v>23</v>
      </c>
      <c r="C92" s="222"/>
      <c r="D92" s="222"/>
      <c r="E92" s="222"/>
      <c r="F92" s="222"/>
      <c r="G92" s="222"/>
      <c r="H92" s="222"/>
      <c r="I92" s="222"/>
      <c r="J92" s="222"/>
      <c r="K92" s="222"/>
      <c r="L92" s="222"/>
      <c r="M92" s="222"/>
      <c r="N92" s="222"/>
      <c r="O92" s="222"/>
      <c r="P92" s="222"/>
      <c r="Q92" s="222"/>
      <c r="R92" s="222"/>
      <c r="S92" s="222"/>
      <c r="T92" s="222"/>
      <c r="U92" s="222"/>
      <c r="V92" s="222"/>
      <c r="W92" s="222"/>
      <c r="X92" s="222"/>
      <c r="Y92" s="222"/>
      <c r="Z92" s="222"/>
      <c r="AA92" s="41"/>
      <c r="AB92" s="41"/>
      <c r="AC92" s="41"/>
      <c r="AD92" s="41"/>
      <c r="AE92" s="41"/>
      <c r="AF92" s="41"/>
      <c r="AG92" s="41"/>
      <c r="AH92" s="41"/>
      <c r="AI92" s="41"/>
      <c r="AJ92" s="41"/>
      <c r="AK92" s="41"/>
      <c r="AL92" s="41"/>
      <c r="AM92" s="41"/>
    </row>
    <row r="93" spans="1:39" ht="13.2">
      <c r="A93" s="222" t="s">
        <v>28</v>
      </c>
      <c r="C93" s="222"/>
      <c r="D93" s="222"/>
      <c r="E93" s="222"/>
      <c r="F93" s="222"/>
      <c r="G93" s="222"/>
      <c r="H93" s="222"/>
      <c r="I93" s="222"/>
      <c r="J93" s="222"/>
      <c r="K93" s="222"/>
      <c r="L93" s="222"/>
      <c r="M93" s="222"/>
      <c r="N93" s="222"/>
      <c r="O93" s="222"/>
      <c r="P93" s="222"/>
      <c r="Q93" s="222"/>
      <c r="R93" s="222"/>
      <c r="S93" s="222"/>
      <c r="T93" s="222"/>
      <c r="U93" s="222"/>
      <c r="V93" s="222"/>
      <c r="W93" s="222"/>
      <c r="X93" s="222"/>
      <c r="Y93" s="222"/>
      <c r="Z93" s="222"/>
      <c r="AA93" s="41"/>
      <c r="AB93" s="41"/>
      <c r="AC93" s="41"/>
      <c r="AD93" s="41"/>
      <c r="AE93" s="41"/>
      <c r="AF93" s="41"/>
      <c r="AG93" s="41"/>
      <c r="AH93" s="41"/>
      <c r="AI93" s="41"/>
      <c r="AJ93" s="41"/>
      <c r="AK93" s="41"/>
      <c r="AL93" s="41"/>
      <c r="AM93" s="41"/>
    </row>
    <row r="94" spans="1:39" ht="13.2">
      <c r="C94" s="222"/>
      <c r="D94" s="222"/>
      <c r="E94" s="222"/>
      <c r="F94" s="222"/>
      <c r="G94" s="222"/>
      <c r="H94" s="222"/>
      <c r="I94" s="222"/>
      <c r="J94" s="222"/>
      <c r="K94" s="222"/>
      <c r="L94" s="222"/>
      <c r="M94" s="222"/>
      <c r="N94" s="222"/>
      <c r="O94" s="222"/>
      <c r="P94" s="222"/>
      <c r="Q94" s="222"/>
      <c r="R94" s="222"/>
      <c r="S94" s="222"/>
      <c r="T94" s="222"/>
      <c r="U94" s="222"/>
      <c r="V94" s="222"/>
      <c r="W94" s="222"/>
      <c r="X94" s="222"/>
      <c r="Y94" s="222"/>
      <c r="Z94" s="222"/>
      <c r="AA94" s="41"/>
      <c r="AB94" s="41"/>
      <c r="AC94" s="41"/>
      <c r="AD94" s="41"/>
      <c r="AE94" s="41"/>
      <c r="AF94" s="41"/>
      <c r="AG94" s="41"/>
      <c r="AH94" s="41"/>
      <c r="AI94" s="41"/>
      <c r="AJ94" s="41"/>
      <c r="AK94" s="41"/>
      <c r="AL94" s="41"/>
      <c r="AM94" s="41"/>
    </row>
    <row r="95" spans="1:39" ht="13.2">
      <c r="A95" s="222" t="s">
        <v>365</v>
      </c>
      <c r="C95" s="222"/>
      <c r="D95" s="222"/>
      <c r="E95" s="222"/>
      <c r="F95" s="222"/>
      <c r="G95" s="222"/>
      <c r="H95" s="222"/>
      <c r="I95" s="222"/>
      <c r="J95" s="222"/>
      <c r="K95" s="222"/>
      <c r="L95" s="222"/>
      <c r="M95" s="222"/>
      <c r="N95" s="222"/>
      <c r="O95" s="222"/>
      <c r="P95" s="222"/>
      <c r="Q95" s="222"/>
      <c r="R95" s="222"/>
      <c r="S95" s="222"/>
      <c r="T95" s="222"/>
      <c r="U95" s="222"/>
      <c r="V95" s="222"/>
      <c r="W95" s="222"/>
      <c r="X95" s="222"/>
      <c r="Y95" s="222"/>
      <c r="Z95" s="222"/>
      <c r="AA95" s="41"/>
      <c r="AB95" s="41"/>
      <c r="AC95" s="41"/>
      <c r="AD95" s="41"/>
      <c r="AE95" s="41"/>
      <c r="AF95" s="41"/>
      <c r="AG95" s="41"/>
      <c r="AH95" s="41"/>
      <c r="AI95" s="41"/>
      <c r="AJ95" s="41"/>
      <c r="AK95" s="41"/>
      <c r="AL95" s="41"/>
      <c r="AM95" s="41"/>
    </row>
    <row r="96" spans="1:39" ht="13.2">
      <c r="A96" s="222" t="s">
        <v>366</v>
      </c>
      <c r="C96" s="222"/>
      <c r="D96" s="222"/>
      <c r="E96" s="222"/>
      <c r="F96" s="222"/>
      <c r="G96" s="222"/>
      <c r="H96" s="222"/>
      <c r="I96" s="222"/>
      <c r="J96" s="222"/>
      <c r="K96" s="222"/>
      <c r="L96" s="222"/>
      <c r="M96" s="222"/>
      <c r="N96" s="222"/>
      <c r="O96" s="222"/>
      <c r="P96" s="222"/>
      <c r="Q96" s="222"/>
      <c r="R96" s="222"/>
      <c r="S96" s="222"/>
      <c r="T96" s="222"/>
      <c r="U96" s="222"/>
      <c r="V96" s="222"/>
      <c r="W96" s="222"/>
      <c r="X96" s="222"/>
      <c r="Y96" s="222"/>
      <c r="Z96" s="222"/>
      <c r="AA96" s="41"/>
      <c r="AB96" s="41"/>
      <c r="AC96" s="41"/>
      <c r="AD96" s="41"/>
      <c r="AE96" s="41"/>
      <c r="AF96" s="41"/>
      <c r="AG96" s="41"/>
      <c r="AH96" s="41"/>
      <c r="AI96" s="41"/>
      <c r="AJ96" s="41"/>
      <c r="AK96" s="41"/>
      <c r="AL96" s="41"/>
      <c r="AM96" s="41"/>
    </row>
    <row r="97" spans="1:39" s="50" customFormat="1" ht="13.2">
      <c r="A97" s="16"/>
      <c r="C97" s="427"/>
      <c r="D97" s="427"/>
      <c r="E97" s="427"/>
      <c r="F97" s="427"/>
      <c r="G97" s="427"/>
      <c r="H97" s="427"/>
      <c r="I97" s="427"/>
      <c r="J97" s="427"/>
      <c r="K97" s="427"/>
      <c r="L97" s="427"/>
      <c r="M97" s="427"/>
      <c r="N97" s="427"/>
      <c r="O97" s="427"/>
      <c r="P97" s="427"/>
      <c r="Q97" s="427"/>
      <c r="R97" s="427"/>
      <c r="S97" s="427"/>
      <c r="T97" s="427"/>
      <c r="U97" s="427"/>
      <c r="V97" s="427"/>
      <c r="W97" s="427"/>
      <c r="X97" s="427"/>
      <c r="Y97" s="427"/>
      <c r="Z97" s="427"/>
      <c r="AA97" s="428"/>
      <c r="AB97" s="428"/>
      <c r="AC97" s="428"/>
      <c r="AD97" s="428"/>
      <c r="AE97" s="428"/>
      <c r="AF97" s="428"/>
      <c r="AG97" s="428"/>
      <c r="AH97" s="428"/>
      <c r="AI97" s="428"/>
      <c r="AJ97" s="428"/>
      <c r="AK97" s="428"/>
      <c r="AL97" s="428"/>
      <c r="AM97" s="428"/>
    </row>
    <row r="98" spans="1:39" ht="13.2">
      <c r="A98" s="222" t="s">
        <v>380</v>
      </c>
      <c r="B98" s="50"/>
      <c r="C98" s="427"/>
      <c r="D98" s="427"/>
      <c r="E98" s="427"/>
      <c r="F98" s="427"/>
      <c r="G98" s="427"/>
      <c r="H98" s="427"/>
      <c r="I98" s="427"/>
      <c r="J98" s="427"/>
      <c r="K98" s="427"/>
      <c r="L98" s="427"/>
      <c r="M98" s="427"/>
      <c r="N98" s="427"/>
      <c r="O98" s="427"/>
      <c r="P98" s="427"/>
      <c r="Q98" s="427"/>
      <c r="R98" s="427"/>
      <c r="S98" s="427"/>
      <c r="T98" s="427"/>
      <c r="U98" s="427"/>
      <c r="V98" s="427"/>
      <c r="W98" s="427"/>
      <c r="X98" s="427"/>
      <c r="Y98" s="427"/>
      <c r="Z98" s="427"/>
      <c r="AA98" s="428"/>
      <c r="AB98" s="428"/>
      <c r="AC98" s="428"/>
      <c r="AD98" s="428"/>
      <c r="AE98" s="428"/>
      <c r="AF98" s="428"/>
      <c r="AG98" s="428"/>
      <c r="AH98" s="428"/>
      <c r="AI98" s="428"/>
      <c r="AJ98" s="428"/>
      <c r="AK98" s="428"/>
      <c r="AL98" s="428"/>
      <c r="AM98" s="41"/>
    </row>
    <row r="99" spans="1:39" ht="13.2">
      <c r="A99" s="222" t="s">
        <v>424</v>
      </c>
      <c r="B99" s="50"/>
      <c r="C99" s="427"/>
      <c r="D99" s="427"/>
      <c r="E99" s="427"/>
      <c r="F99" s="427"/>
      <c r="G99" s="427"/>
      <c r="H99" s="427"/>
      <c r="I99" s="427"/>
      <c r="J99" s="427"/>
      <c r="K99" s="427"/>
      <c r="L99" s="427"/>
      <c r="M99" s="427"/>
      <c r="N99" s="427"/>
      <c r="O99" s="427"/>
      <c r="P99" s="427"/>
      <c r="Q99" s="427"/>
      <c r="R99" s="427"/>
      <c r="S99" s="427"/>
      <c r="T99" s="427"/>
      <c r="U99" s="427"/>
      <c r="V99" s="427"/>
      <c r="W99" s="427"/>
      <c r="X99" s="427"/>
      <c r="Y99" s="427"/>
      <c r="Z99" s="427"/>
      <c r="AA99" s="428"/>
      <c r="AB99" s="428"/>
      <c r="AC99" s="428"/>
      <c r="AD99" s="428"/>
      <c r="AE99" s="428"/>
      <c r="AF99" s="428"/>
      <c r="AG99" s="428"/>
      <c r="AH99" s="428"/>
      <c r="AI99" s="428"/>
      <c r="AJ99" s="428"/>
      <c r="AK99" s="428"/>
      <c r="AL99" s="428"/>
      <c r="AM99" s="41"/>
    </row>
    <row r="100" spans="1:39" s="50" customFormat="1" ht="13.2">
      <c r="A100" s="222" t="s">
        <v>425</v>
      </c>
      <c r="C100" s="427"/>
      <c r="D100" s="427"/>
      <c r="E100" s="427"/>
      <c r="F100" s="427"/>
      <c r="G100" s="427"/>
      <c r="H100" s="427"/>
      <c r="I100" s="427"/>
      <c r="J100" s="427"/>
      <c r="K100" s="427"/>
      <c r="L100" s="427"/>
      <c r="M100" s="427"/>
      <c r="N100" s="427"/>
      <c r="O100" s="427"/>
      <c r="P100" s="427"/>
      <c r="Q100" s="427"/>
      <c r="R100" s="427"/>
      <c r="S100" s="427"/>
      <c r="T100" s="427"/>
      <c r="U100" s="427"/>
      <c r="V100" s="427"/>
      <c r="W100" s="427"/>
      <c r="X100" s="427"/>
      <c r="Y100" s="427"/>
      <c r="Z100" s="427"/>
      <c r="AA100" s="428"/>
      <c r="AB100" s="428"/>
      <c r="AC100" s="428"/>
      <c r="AD100" s="428"/>
      <c r="AE100" s="428"/>
      <c r="AF100" s="428"/>
      <c r="AG100" s="428"/>
      <c r="AH100" s="428"/>
      <c r="AI100" s="428"/>
      <c r="AJ100" s="428"/>
      <c r="AK100" s="428"/>
      <c r="AL100" s="428"/>
      <c r="AM100" s="428"/>
    </row>
    <row r="101" spans="1:39" s="50" customFormat="1" ht="12.75" customHeight="1">
      <c r="A101" s="16"/>
      <c r="C101" s="427"/>
      <c r="D101" s="427"/>
      <c r="E101" s="427"/>
      <c r="F101" s="427"/>
      <c r="G101" s="427"/>
      <c r="H101" s="427"/>
      <c r="I101" s="427"/>
      <c r="J101" s="427"/>
      <c r="K101" s="427"/>
      <c r="L101" s="427"/>
      <c r="M101" s="427"/>
      <c r="N101" s="427"/>
      <c r="O101" s="427"/>
      <c r="P101" s="427"/>
      <c r="Q101" s="427"/>
      <c r="R101" s="427"/>
      <c r="S101" s="427"/>
      <c r="T101" s="427"/>
      <c r="U101" s="427"/>
      <c r="V101" s="427"/>
      <c r="W101" s="427"/>
      <c r="X101" s="427"/>
      <c r="Y101" s="427"/>
      <c r="Z101" s="427"/>
      <c r="AA101" s="428"/>
      <c r="AB101" s="428"/>
      <c r="AC101" s="428"/>
      <c r="AD101" s="428"/>
      <c r="AE101" s="428"/>
      <c r="AF101" s="428"/>
      <c r="AG101" s="428"/>
      <c r="AH101" s="428"/>
      <c r="AI101" s="428"/>
      <c r="AJ101" s="428"/>
      <c r="AK101" s="428"/>
      <c r="AL101" s="428"/>
      <c r="AM101" s="428"/>
    </row>
    <row r="102" spans="1:39" s="50" customFormat="1" ht="12.75" customHeight="1">
      <c r="A102" s="427" t="s">
        <v>426</v>
      </c>
      <c r="C102" s="427"/>
      <c r="D102" s="427"/>
      <c r="E102" s="427"/>
      <c r="F102" s="427"/>
      <c r="G102" s="427"/>
      <c r="H102" s="427"/>
      <c r="I102" s="427"/>
      <c r="J102" s="427"/>
      <c r="K102" s="427"/>
      <c r="L102" s="427"/>
      <c r="M102" s="427"/>
      <c r="N102" s="427"/>
      <c r="O102" s="427"/>
      <c r="P102" s="427"/>
      <c r="Q102" s="427"/>
      <c r="R102" s="427"/>
      <c r="S102" s="427"/>
      <c r="T102" s="427"/>
      <c r="U102" s="427"/>
      <c r="V102" s="427"/>
      <c r="W102" s="427"/>
      <c r="X102" s="427"/>
      <c r="Y102" s="427"/>
      <c r="Z102" s="427"/>
      <c r="AA102" s="428"/>
      <c r="AB102" s="428"/>
      <c r="AC102" s="428"/>
      <c r="AD102" s="428"/>
      <c r="AE102" s="428"/>
      <c r="AF102" s="428"/>
      <c r="AG102" s="428"/>
      <c r="AH102" s="428"/>
      <c r="AI102" s="428"/>
      <c r="AJ102" s="428"/>
      <c r="AK102" s="428"/>
      <c r="AL102" s="428"/>
      <c r="AM102" s="428"/>
    </row>
    <row r="103" spans="1:39" s="50" customFormat="1" ht="12.75" customHeight="1">
      <c r="A103" s="429" t="s">
        <v>1255</v>
      </c>
      <c r="C103" s="427"/>
      <c r="D103" s="427"/>
      <c r="E103" s="427"/>
      <c r="F103" s="427"/>
      <c r="G103" s="427"/>
      <c r="H103" s="427"/>
      <c r="I103" s="427"/>
      <c r="J103" s="427"/>
      <c r="K103" s="427"/>
      <c r="L103" s="427"/>
      <c r="M103" s="427"/>
      <c r="N103" s="427"/>
      <c r="O103" s="427"/>
      <c r="P103" s="427"/>
      <c r="Q103" s="427"/>
      <c r="R103" s="427"/>
      <c r="S103" s="427"/>
      <c r="T103" s="427"/>
      <c r="U103" s="427"/>
      <c r="V103" s="427"/>
      <c r="W103" s="427"/>
      <c r="X103" s="427"/>
      <c r="Y103" s="427"/>
      <c r="Z103" s="427"/>
      <c r="AA103" s="428"/>
      <c r="AB103" s="428"/>
      <c r="AC103" s="428"/>
      <c r="AD103" s="428"/>
      <c r="AE103" s="428"/>
      <c r="AF103" s="428"/>
      <c r="AG103" s="428"/>
      <c r="AH103" s="428"/>
      <c r="AI103" s="428"/>
      <c r="AJ103" s="428"/>
      <c r="AK103" s="428"/>
      <c r="AL103" s="428"/>
      <c r="AM103" s="428"/>
    </row>
    <row r="104" spans="1:39" s="50" customFormat="1" ht="12.75" customHeight="1">
      <c r="A104" s="1341" t="s">
        <v>2119</v>
      </c>
      <c r="C104" s="427"/>
      <c r="D104" s="427"/>
      <c r="E104" s="427"/>
      <c r="F104" s="427"/>
      <c r="G104" s="427"/>
      <c r="H104" s="427"/>
      <c r="I104" s="427"/>
      <c r="J104" s="427"/>
      <c r="K104" s="427"/>
      <c r="L104" s="427"/>
      <c r="M104" s="427"/>
      <c r="N104" s="427"/>
      <c r="O104" s="427"/>
      <c r="P104" s="427"/>
      <c r="Q104" s="427"/>
      <c r="R104" s="427"/>
      <c r="S104" s="427"/>
      <c r="T104" s="427"/>
      <c r="U104" s="427"/>
      <c r="V104" s="427"/>
      <c r="W104" s="427"/>
      <c r="X104" s="427"/>
      <c r="Y104" s="427"/>
      <c r="Z104" s="427"/>
      <c r="AA104" s="428"/>
      <c r="AB104" s="428"/>
      <c r="AC104" s="428"/>
      <c r="AD104" s="428"/>
      <c r="AE104" s="428"/>
      <c r="AF104" s="428"/>
      <c r="AG104" s="428"/>
      <c r="AH104" s="428"/>
      <c r="AI104" s="428"/>
      <c r="AJ104" s="428"/>
      <c r="AK104" s="428"/>
      <c r="AL104" s="428"/>
      <c r="AM104" s="428"/>
    </row>
    <row r="105" spans="1:39" s="50" customFormat="1" ht="12.75" customHeight="1">
      <c r="A105" s="1341" t="s">
        <v>2118</v>
      </c>
      <c r="C105" s="427"/>
      <c r="D105" s="427"/>
      <c r="E105" s="427"/>
      <c r="F105" s="427"/>
      <c r="G105" s="427"/>
      <c r="H105" s="427"/>
      <c r="I105" s="427"/>
      <c r="J105" s="427"/>
      <c r="K105" s="427"/>
      <c r="L105" s="427"/>
      <c r="M105" s="427"/>
      <c r="N105" s="427"/>
      <c r="O105" s="427"/>
      <c r="P105" s="427"/>
      <c r="Q105" s="427"/>
      <c r="R105" s="427"/>
      <c r="S105" s="427"/>
      <c r="T105" s="427"/>
      <c r="U105" s="427"/>
      <c r="V105" s="427"/>
      <c r="W105" s="427"/>
      <c r="X105" s="427"/>
      <c r="Y105" s="427"/>
      <c r="Z105" s="427"/>
      <c r="AA105" s="428"/>
      <c r="AB105" s="428"/>
      <c r="AC105" s="428"/>
      <c r="AD105" s="428"/>
      <c r="AE105" s="428"/>
      <c r="AF105" s="428"/>
      <c r="AG105" s="428"/>
      <c r="AH105" s="428"/>
      <c r="AI105" s="428"/>
      <c r="AJ105" s="428"/>
      <c r="AK105" s="428"/>
      <c r="AL105" s="428"/>
      <c r="AM105" s="428"/>
    </row>
    <row r="106" spans="1:39" s="50" customFormat="1" ht="12.75" customHeight="1">
      <c r="A106" s="50" t="s">
        <v>2111</v>
      </c>
      <c r="C106" s="427"/>
      <c r="D106" s="427"/>
      <c r="E106" s="427"/>
      <c r="F106" s="427"/>
      <c r="G106" s="427"/>
      <c r="H106" s="427"/>
      <c r="I106" s="427"/>
      <c r="J106" s="427"/>
      <c r="K106" s="427"/>
      <c r="L106" s="427"/>
      <c r="M106" s="427"/>
      <c r="N106" s="427"/>
      <c r="O106" s="427"/>
      <c r="P106" s="427"/>
      <c r="Q106" s="427"/>
      <c r="R106" s="427"/>
      <c r="S106" s="427"/>
      <c r="T106" s="427"/>
      <c r="U106" s="427"/>
      <c r="V106" s="427"/>
      <c r="W106" s="427"/>
      <c r="X106" s="427"/>
      <c r="Y106" s="427"/>
      <c r="Z106" s="427"/>
      <c r="AA106" s="428"/>
      <c r="AB106" s="428"/>
      <c r="AC106" s="428"/>
      <c r="AD106" s="428"/>
      <c r="AE106" s="428"/>
      <c r="AF106" s="428"/>
      <c r="AG106" s="428"/>
      <c r="AH106" s="428"/>
      <c r="AI106" s="428"/>
      <c r="AJ106" s="428"/>
      <c r="AK106" s="428"/>
      <c r="AL106" s="428"/>
      <c r="AM106" s="428"/>
    </row>
    <row r="107" spans="1:39" s="50" customFormat="1" ht="12.75" customHeight="1">
      <c r="A107" s="50" t="s">
        <v>2112</v>
      </c>
      <c r="C107" s="427"/>
      <c r="D107" s="427"/>
      <c r="E107" s="427"/>
      <c r="F107" s="427"/>
      <c r="G107" s="427"/>
      <c r="H107" s="427"/>
      <c r="I107" s="427"/>
      <c r="J107" s="427"/>
      <c r="K107" s="427"/>
      <c r="L107" s="427"/>
      <c r="M107" s="427"/>
      <c r="N107" s="427"/>
      <c r="O107" s="427"/>
      <c r="P107" s="427"/>
      <c r="Q107" s="427"/>
      <c r="R107" s="427"/>
      <c r="S107" s="427"/>
      <c r="T107" s="427"/>
      <c r="U107" s="427"/>
      <c r="V107" s="427"/>
      <c r="W107" s="427"/>
      <c r="X107" s="427"/>
      <c r="Y107" s="427"/>
      <c r="Z107" s="427"/>
      <c r="AA107" s="428"/>
      <c r="AB107" s="428"/>
      <c r="AC107" s="428"/>
      <c r="AD107" s="428"/>
      <c r="AE107" s="428"/>
      <c r="AF107" s="428"/>
      <c r="AG107" s="428"/>
      <c r="AH107" s="428"/>
      <c r="AI107" s="428"/>
      <c r="AJ107" s="428"/>
      <c r="AK107" s="428"/>
      <c r="AL107" s="428"/>
      <c r="AM107" s="428"/>
    </row>
    <row r="108" spans="1:39" s="50" customFormat="1" ht="12.75" customHeight="1">
      <c r="A108" s="1341" t="s">
        <v>2113</v>
      </c>
      <c r="C108" s="427"/>
      <c r="D108" s="427"/>
      <c r="E108" s="427"/>
      <c r="F108" s="427"/>
      <c r="G108" s="427"/>
      <c r="H108" s="427"/>
      <c r="I108" s="427"/>
      <c r="J108" s="427"/>
      <c r="K108" s="427"/>
      <c r="L108" s="427"/>
      <c r="M108" s="427"/>
      <c r="N108" s="427"/>
      <c r="O108" s="427"/>
      <c r="P108" s="427"/>
      <c r="Q108" s="427"/>
      <c r="R108" s="427"/>
      <c r="S108" s="427"/>
      <c r="T108" s="427"/>
      <c r="U108" s="427"/>
      <c r="V108" s="427"/>
      <c r="W108" s="427"/>
      <c r="X108" s="427"/>
      <c r="Y108" s="427"/>
      <c r="Z108" s="427"/>
      <c r="AA108" s="428"/>
      <c r="AB108" s="428"/>
      <c r="AC108" s="428"/>
      <c r="AD108" s="428"/>
      <c r="AE108" s="428"/>
      <c r="AF108" s="428"/>
      <c r="AG108" s="428"/>
      <c r="AH108" s="428"/>
      <c r="AI108" s="428"/>
      <c r="AJ108" s="428"/>
      <c r="AK108" s="428"/>
      <c r="AL108" s="428"/>
      <c r="AM108" s="428"/>
    </row>
    <row r="109" spans="1:39" s="50" customFormat="1" ht="12.75" customHeight="1">
      <c r="A109" s="1341" t="s">
        <v>2114</v>
      </c>
      <c r="C109" s="427"/>
      <c r="D109" s="427"/>
      <c r="E109" s="427"/>
      <c r="F109" s="427"/>
      <c r="G109" s="427"/>
      <c r="H109" s="427"/>
      <c r="I109" s="427"/>
      <c r="J109" s="427"/>
      <c r="K109" s="427"/>
      <c r="L109" s="427"/>
      <c r="M109" s="427"/>
      <c r="N109" s="427"/>
      <c r="O109" s="427"/>
      <c r="P109" s="427"/>
      <c r="Q109" s="427"/>
      <c r="R109" s="427"/>
      <c r="S109" s="427"/>
      <c r="T109" s="427"/>
      <c r="U109" s="427"/>
      <c r="V109" s="427"/>
      <c r="W109" s="427"/>
      <c r="X109" s="427"/>
      <c r="Y109" s="427"/>
      <c r="Z109" s="427"/>
      <c r="AA109" s="428"/>
      <c r="AB109" s="428"/>
      <c r="AC109" s="428"/>
      <c r="AD109" s="428"/>
      <c r="AE109" s="428"/>
      <c r="AF109" s="428"/>
      <c r="AG109" s="428"/>
      <c r="AH109" s="428"/>
      <c r="AI109" s="428"/>
      <c r="AJ109" s="428"/>
      <c r="AK109" s="428"/>
      <c r="AL109" s="428"/>
      <c r="AM109" s="428"/>
    </row>
    <row r="110" spans="1:39" s="50" customFormat="1" ht="13.2">
      <c r="A110" s="1341" t="s">
        <v>1497</v>
      </c>
      <c r="C110" s="427"/>
      <c r="D110" s="427"/>
      <c r="E110" s="427"/>
      <c r="F110" s="427"/>
      <c r="G110" s="427"/>
      <c r="H110" s="427"/>
      <c r="I110" s="427"/>
      <c r="J110" s="427"/>
      <c r="K110" s="427"/>
      <c r="L110" s="427"/>
      <c r="M110" s="427"/>
      <c r="N110" s="427"/>
      <c r="O110" s="427"/>
      <c r="P110" s="427"/>
      <c r="Q110" s="427"/>
      <c r="R110" s="427"/>
      <c r="S110" s="427"/>
      <c r="T110" s="427"/>
      <c r="U110" s="427"/>
      <c r="V110" s="427"/>
      <c r="W110" s="427"/>
      <c r="X110" s="427"/>
      <c r="Y110" s="427"/>
      <c r="Z110" s="427"/>
      <c r="AA110" s="428"/>
      <c r="AB110" s="428"/>
      <c r="AC110" s="428"/>
      <c r="AD110" s="428"/>
      <c r="AE110" s="428"/>
      <c r="AF110" s="428"/>
      <c r="AG110" s="428"/>
      <c r="AH110" s="428"/>
      <c r="AI110" s="428"/>
      <c r="AJ110" s="428"/>
      <c r="AK110" s="428"/>
      <c r="AL110" s="428"/>
      <c r="AM110" s="428"/>
    </row>
    <row r="111" spans="1:39" s="50" customFormat="1" ht="13.2">
      <c r="A111" s="1342" t="s">
        <v>2115</v>
      </c>
      <c r="C111" s="427"/>
      <c r="D111" s="427"/>
      <c r="E111" s="427"/>
      <c r="F111" s="427"/>
      <c r="G111" s="427"/>
      <c r="H111" s="427"/>
      <c r="I111" s="427"/>
      <c r="J111" s="427"/>
      <c r="K111" s="427"/>
      <c r="L111" s="427"/>
      <c r="M111" s="427"/>
      <c r="N111" s="427"/>
      <c r="O111" s="427"/>
      <c r="P111" s="427"/>
      <c r="Q111" s="427"/>
      <c r="R111" s="427"/>
      <c r="S111" s="427"/>
      <c r="T111" s="427"/>
      <c r="U111" s="427"/>
      <c r="V111" s="427"/>
      <c r="W111" s="427"/>
      <c r="X111" s="427"/>
      <c r="Y111" s="427"/>
      <c r="Z111" s="427"/>
      <c r="AA111" s="428"/>
      <c r="AB111" s="428"/>
      <c r="AC111" s="428"/>
      <c r="AD111" s="428"/>
      <c r="AE111" s="428"/>
      <c r="AF111" s="428"/>
      <c r="AG111" s="428"/>
      <c r="AH111" s="428"/>
      <c r="AI111" s="428"/>
      <c r="AJ111" s="428"/>
      <c r="AK111" s="428"/>
      <c r="AL111" s="428"/>
      <c r="AM111" s="428"/>
    </row>
    <row r="112" spans="1:39" s="50" customFormat="1" ht="13.2">
      <c r="A112" s="1341" t="s">
        <v>2117</v>
      </c>
      <c r="C112" s="427"/>
      <c r="D112" s="427"/>
      <c r="E112" s="427"/>
      <c r="F112" s="427"/>
      <c r="G112" s="427"/>
      <c r="H112" s="427"/>
      <c r="I112" s="427"/>
      <c r="J112" s="427"/>
      <c r="K112" s="427"/>
      <c r="L112" s="427"/>
      <c r="M112" s="427"/>
      <c r="N112" s="427"/>
      <c r="O112" s="427"/>
      <c r="P112" s="427"/>
      <c r="Q112" s="427"/>
      <c r="R112" s="427"/>
      <c r="S112" s="427"/>
      <c r="T112" s="427"/>
      <c r="U112" s="427"/>
      <c r="V112" s="427"/>
      <c r="W112" s="427"/>
      <c r="X112" s="427"/>
      <c r="Y112" s="427"/>
      <c r="Z112" s="427"/>
      <c r="AA112" s="428"/>
      <c r="AB112" s="428"/>
      <c r="AC112" s="428"/>
      <c r="AD112" s="428"/>
      <c r="AE112" s="428"/>
      <c r="AF112" s="428"/>
      <c r="AG112" s="428"/>
      <c r="AH112" s="428"/>
      <c r="AI112" s="428"/>
      <c r="AJ112" s="428"/>
      <c r="AK112" s="428"/>
      <c r="AL112" s="428"/>
      <c r="AM112" s="428"/>
    </row>
    <row r="113" spans="1:39" s="50" customFormat="1" ht="12.75" customHeight="1">
      <c r="A113" s="1341" t="s">
        <v>2116</v>
      </c>
      <c r="C113" s="427"/>
      <c r="D113" s="427"/>
      <c r="E113" s="427"/>
      <c r="F113" s="427"/>
      <c r="G113" s="427"/>
      <c r="H113" s="427"/>
      <c r="I113" s="427"/>
      <c r="J113" s="427"/>
      <c r="K113" s="427"/>
      <c r="L113" s="427"/>
      <c r="M113" s="427"/>
      <c r="N113" s="427"/>
      <c r="O113" s="427"/>
      <c r="P113" s="427"/>
      <c r="Q113" s="427"/>
      <c r="R113" s="427"/>
      <c r="S113" s="427"/>
      <c r="T113" s="427"/>
      <c r="U113" s="427"/>
      <c r="V113" s="427"/>
      <c r="W113" s="427"/>
      <c r="X113" s="427"/>
      <c r="Y113" s="427"/>
      <c r="Z113" s="427"/>
      <c r="AA113" s="428"/>
      <c r="AB113" s="428"/>
      <c r="AC113" s="428"/>
      <c r="AD113" s="428"/>
      <c r="AE113" s="428"/>
      <c r="AF113" s="428"/>
      <c r="AG113" s="428"/>
      <c r="AH113" s="428"/>
      <c r="AI113" s="428"/>
      <c r="AJ113" s="428"/>
      <c r="AK113" s="428"/>
      <c r="AL113" s="428"/>
      <c r="AM113" s="428"/>
    </row>
    <row r="114" spans="1:39" ht="13.2">
      <c r="A114" s="50"/>
      <c r="B114" s="50"/>
      <c r="C114" s="427"/>
      <c r="D114" s="427"/>
      <c r="E114" s="427"/>
      <c r="F114" s="427"/>
      <c r="G114" s="427"/>
      <c r="H114" s="427"/>
      <c r="I114" s="427"/>
      <c r="J114" s="427"/>
      <c r="K114" s="427"/>
      <c r="L114" s="427"/>
      <c r="M114" s="427"/>
      <c r="N114" s="427"/>
      <c r="O114" s="427"/>
      <c r="P114" s="427"/>
      <c r="Q114" s="427"/>
      <c r="R114" s="427"/>
      <c r="S114" s="427"/>
      <c r="T114" s="427"/>
      <c r="U114" s="427"/>
      <c r="V114" s="427"/>
      <c r="W114" s="427"/>
      <c r="X114" s="427"/>
      <c r="Y114" s="427"/>
      <c r="Z114" s="427"/>
      <c r="AA114" s="428"/>
      <c r="AB114" s="428"/>
      <c r="AC114" s="428"/>
      <c r="AD114" s="428"/>
      <c r="AE114" s="428"/>
      <c r="AF114" s="428"/>
      <c r="AG114" s="428"/>
      <c r="AH114" s="428"/>
      <c r="AI114" s="428"/>
      <c r="AJ114" s="428"/>
      <c r="AK114" s="428"/>
      <c r="AL114" s="428"/>
    </row>
    <row r="115" spans="1:39" s="50" customFormat="1" ht="13.2">
      <c r="A115" s="429" t="s">
        <v>1498</v>
      </c>
      <c r="B115" s="16"/>
      <c r="C115" s="222"/>
      <c r="D115" s="222"/>
      <c r="E115" s="222"/>
      <c r="F115" s="222"/>
      <c r="G115" s="222"/>
      <c r="H115" s="222"/>
      <c r="I115" s="222"/>
      <c r="J115" s="222"/>
      <c r="K115" s="222"/>
      <c r="L115" s="222"/>
      <c r="M115" s="222"/>
      <c r="N115" s="222"/>
      <c r="O115" s="222"/>
      <c r="P115" s="222"/>
      <c r="Q115" s="222"/>
      <c r="R115" s="222"/>
      <c r="S115" s="222"/>
      <c r="T115" s="222"/>
      <c r="U115" s="222"/>
      <c r="V115" s="222"/>
      <c r="W115" s="222"/>
      <c r="X115" s="222"/>
      <c r="Y115" s="222"/>
      <c r="Z115" s="222"/>
      <c r="AA115" s="41"/>
      <c r="AB115" s="41"/>
      <c r="AC115" s="41"/>
      <c r="AD115" s="41"/>
      <c r="AE115" s="41"/>
      <c r="AF115" s="41"/>
      <c r="AG115" s="41"/>
      <c r="AH115" s="41"/>
      <c r="AI115" s="41"/>
      <c r="AJ115" s="41"/>
      <c r="AK115" s="41"/>
      <c r="AL115" s="41"/>
    </row>
    <row r="116" spans="1:39" ht="13.2">
      <c r="A116" s="427" t="s">
        <v>1499</v>
      </c>
    </row>
    <row r="117" spans="1:39" ht="13.2">
      <c r="A117" s="427" t="s">
        <v>1500</v>
      </c>
      <c r="C117" s="222"/>
      <c r="D117" s="222"/>
      <c r="E117" s="222"/>
      <c r="F117" s="222"/>
      <c r="G117" s="222"/>
      <c r="H117" s="222"/>
      <c r="I117" s="222"/>
      <c r="J117" s="222"/>
      <c r="K117" s="222"/>
      <c r="L117" s="222"/>
      <c r="M117" s="222"/>
      <c r="N117" s="222"/>
      <c r="O117" s="222"/>
      <c r="P117" s="222"/>
      <c r="Q117" s="222"/>
      <c r="R117" s="222"/>
      <c r="S117" s="222"/>
      <c r="T117" s="222"/>
      <c r="U117" s="222"/>
      <c r="V117" s="222"/>
      <c r="W117" s="222"/>
      <c r="X117" s="222"/>
      <c r="Y117" s="222"/>
      <c r="Z117" s="222"/>
      <c r="AA117" s="41"/>
      <c r="AB117" s="41"/>
      <c r="AC117" s="41"/>
      <c r="AD117" s="41"/>
      <c r="AE117" s="41"/>
      <c r="AF117" s="41"/>
      <c r="AG117" s="41"/>
      <c r="AH117" s="41"/>
      <c r="AI117" s="41"/>
      <c r="AJ117" s="41"/>
      <c r="AK117" s="41"/>
      <c r="AL117" s="41"/>
    </row>
    <row r="118" spans="1:39" ht="13.2">
      <c r="A118" s="1106" t="s">
        <v>1501</v>
      </c>
      <c r="C118" s="222"/>
      <c r="D118" s="222"/>
      <c r="E118" s="222"/>
      <c r="F118" s="222"/>
      <c r="G118" s="222"/>
      <c r="H118" s="222"/>
      <c r="I118" s="222"/>
      <c r="J118" s="222"/>
      <c r="K118" s="222"/>
      <c r="L118" s="222"/>
      <c r="M118" s="222"/>
      <c r="N118" s="222"/>
      <c r="O118" s="222"/>
      <c r="P118" s="222"/>
      <c r="Q118" s="222"/>
      <c r="R118" s="222"/>
      <c r="S118" s="222"/>
      <c r="T118" s="222"/>
      <c r="U118" s="222"/>
      <c r="V118" s="222"/>
      <c r="W118" s="222"/>
      <c r="X118" s="222"/>
      <c r="Y118" s="222"/>
      <c r="Z118" s="222"/>
      <c r="AA118" s="41"/>
      <c r="AB118" s="41"/>
      <c r="AC118" s="41"/>
      <c r="AD118" s="41"/>
      <c r="AE118" s="41"/>
      <c r="AF118" s="41"/>
      <c r="AG118" s="41"/>
      <c r="AH118" s="41"/>
      <c r="AI118" s="41"/>
      <c r="AJ118" s="41"/>
      <c r="AK118" s="41"/>
      <c r="AL118" s="41"/>
    </row>
    <row r="119" spans="1:39" ht="13.2">
      <c r="C119" s="222"/>
      <c r="D119" s="222"/>
      <c r="E119" s="222"/>
      <c r="F119" s="222"/>
      <c r="G119" s="222"/>
      <c r="H119" s="222"/>
      <c r="I119" s="222"/>
      <c r="J119" s="222"/>
      <c r="K119" s="222"/>
      <c r="L119" s="222"/>
      <c r="M119" s="222"/>
      <c r="N119" s="222"/>
      <c r="O119" s="222"/>
      <c r="P119" s="222"/>
      <c r="Q119" s="222"/>
      <c r="R119" s="222"/>
      <c r="S119" s="222"/>
      <c r="T119" s="222"/>
      <c r="U119" s="222"/>
      <c r="V119" s="222"/>
      <c r="W119" s="222"/>
      <c r="X119" s="222"/>
      <c r="Y119" s="222"/>
      <c r="Z119" s="222"/>
      <c r="AA119" s="41"/>
      <c r="AB119" s="41"/>
      <c r="AC119" s="41"/>
      <c r="AD119" s="41"/>
      <c r="AE119" s="41"/>
      <c r="AF119" s="41"/>
      <c r="AG119" s="41"/>
      <c r="AH119" s="41"/>
      <c r="AI119" s="41"/>
      <c r="AJ119" s="41"/>
      <c r="AK119" s="41"/>
      <c r="AL119" s="41"/>
    </row>
    <row r="120" spans="1:39" ht="13.2">
      <c r="A120" s="222" t="s">
        <v>72</v>
      </c>
      <c r="C120" s="222"/>
      <c r="D120" s="222"/>
      <c r="E120" s="222"/>
      <c r="F120" s="222"/>
      <c r="G120" s="222"/>
      <c r="H120" s="222"/>
      <c r="I120" s="222"/>
      <c r="J120" s="222"/>
      <c r="K120" s="222"/>
      <c r="L120" s="222"/>
      <c r="M120" s="222"/>
      <c r="N120" s="222"/>
      <c r="O120" s="222"/>
      <c r="P120" s="222"/>
      <c r="Q120" s="222"/>
      <c r="R120" s="222"/>
      <c r="S120" s="222"/>
      <c r="T120" s="222"/>
      <c r="U120" s="222"/>
      <c r="V120" s="222"/>
      <c r="W120" s="222"/>
      <c r="X120" s="222"/>
      <c r="Y120" s="222"/>
      <c r="Z120" s="222"/>
      <c r="AA120" s="41"/>
      <c r="AB120" s="41"/>
      <c r="AC120" s="41"/>
      <c r="AD120" s="41"/>
      <c r="AE120" s="41"/>
      <c r="AF120" s="41"/>
      <c r="AG120" s="41"/>
      <c r="AH120" s="41"/>
      <c r="AI120" s="41"/>
      <c r="AJ120" s="41"/>
      <c r="AK120" s="41"/>
      <c r="AL120" s="41"/>
    </row>
    <row r="121" spans="1:39" ht="13.2">
      <c r="A121" s="222" t="s">
        <v>73</v>
      </c>
      <c r="C121" s="222"/>
      <c r="D121" s="222"/>
      <c r="E121" s="222"/>
      <c r="F121" s="222"/>
      <c r="G121" s="222"/>
      <c r="H121" s="222"/>
      <c r="I121" s="222"/>
      <c r="J121" s="222"/>
      <c r="K121" s="222"/>
      <c r="L121" s="222"/>
      <c r="M121" s="222"/>
      <c r="N121" s="222"/>
      <c r="O121" s="222"/>
      <c r="P121" s="222"/>
      <c r="Q121" s="222"/>
      <c r="R121" s="222"/>
      <c r="S121" s="222"/>
      <c r="T121" s="222"/>
      <c r="U121" s="222"/>
      <c r="V121" s="222"/>
      <c r="W121" s="222"/>
      <c r="X121" s="222"/>
      <c r="Y121" s="222"/>
      <c r="Z121" s="222"/>
      <c r="AA121" s="41"/>
      <c r="AB121" s="41"/>
      <c r="AC121" s="41"/>
      <c r="AD121" s="41"/>
      <c r="AE121" s="41"/>
      <c r="AF121" s="41"/>
      <c r="AG121" s="41"/>
      <c r="AH121" s="41"/>
      <c r="AI121" s="41"/>
      <c r="AJ121" s="41"/>
      <c r="AK121" s="41"/>
      <c r="AL121" s="41"/>
    </row>
    <row r="122" spans="1:39" ht="13.2">
      <c r="A122" s="222" t="s">
        <v>999</v>
      </c>
      <c r="C122" s="222"/>
      <c r="D122" s="222"/>
      <c r="E122" s="222"/>
      <c r="F122" s="222"/>
      <c r="G122" s="222"/>
      <c r="H122" s="222"/>
      <c r="I122" s="222"/>
      <c r="J122" s="222"/>
      <c r="K122" s="222"/>
      <c r="L122" s="222"/>
      <c r="M122" s="222"/>
      <c r="N122" s="222"/>
      <c r="O122" s="222"/>
      <c r="P122" s="222"/>
      <c r="Q122" s="222"/>
      <c r="R122" s="222"/>
      <c r="S122" s="222"/>
      <c r="T122" s="222"/>
      <c r="U122" s="222"/>
      <c r="V122" s="222"/>
      <c r="W122" s="222"/>
      <c r="X122" s="222"/>
      <c r="Y122" s="222"/>
      <c r="Z122" s="222"/>
      <c r="AA122" s="41"/>
      <c r="AB122" s="41"/>
      <c r="AC122" s="41"/>
      <c r="AD122" s="41"/>
      <c r="AE122" s="41"/>
      <c r="AF122" s="41"/>
      <c r="AG122" s="41"/>
      <c r="AH122" s="41"/>
      <c r="AI122" s="41"/>
      <c r="AJ122" s="41"/>
      <c r="AK122" s="41"/>
      <c r="AL122" s="41"/>
    </row>
    <row r="123" spans="1:39" ht="13.2"/>
    <row r="124" spans="1:39" ht="13.2">
      <c r="A124" s="222" t="s">
        <v>1000</v>
      </c>
    </row>
    <row r="125" spans="1:39" ht="13.2">
      <c r="A125" s="222" t="s">
        <v>1151</v>
      </c>
      <c r="V125" s="72"/>
      <c r="W125" s="72"/>
      <c r="AL125" s="72"/>
    </row>
    <row r="126" spans="1:39" ht="13.2">
      <c r="A126" s="72"/>
      <c r="B126" s="72"/>
      <c r="AL126" s="72"/>
    </row>
    <row r="127" spans="1:39" ht="13.2">
      <c r="A127" s="72"/>
      <c r="B127" s="72"/>
      <c r="AL127" s="72"/>
    </row>
    <row r="128" spans="1:39" ht="13.2">
      <c r="A128" s="72"/>
      <c r="B128" s="72"/>
      <c r="C128" s="72" t="s">
        <v>460</v>
      </c>
      <c r="E128" s="72"/>
      <c r="F128" s="72"/>
      <c r="G128" s="1958" t="s">
        <v>2330</v>
      </c>
      <c r="H128" s="1866"/>
      <c r="I128" s="72" t="s">
        <v>461</v>
      </c>
      <c r="J128" s="72"/>
      <c r="L128" s="2080" t="s">
        <v>2331</v>
      </c>
      <c r="M128" s="2081"/>
      <c r="N128" s="2081"/>
      <c r="O128" s="72" t="s">
        <v>2255</v>
      </c>
      <c r="P128" s="72"/>
      <c r="Q128" s="72"/>
      <c r="R128" s="72"/>
      <c r="S128" s="72"/>
      <c r="T128" s="72"/>
      <c r="U128" s="72"/>
      <c r="V128" s="72"/>
      <c r="W128" s="72"/>
      <c r="X128" s="72" t="s">
        <v>463</v>
      </c>
      <c r="Y128" s="1358"/>
      <c r="Z128" s="1358"/>
      <c r="AA128" s="1358"/>
      <c r="AB128" s="1358"/>
      <c r="AC128" s="1358"/>
      <c r="AD128" s="1358"/>
      <c r="AE128" s="1358"/>
      <c r="AF128" s="1358"/>
      <c r="AG128" s="1358"/>
      <c r="AH128" s="1358"/>
      <c r="AI128" s="1358"/>
      <c r="AJ128" s="1358"/>
      <c r="AK128" s="1358"/>
      <c r="AL128" s="72"/>
    </row>
    <row r="129" spans="1:56" ht="13.2">
      <c r="A129" s="72"/>
      <c r="B129" s="72"/>
      <c r="C129" s="72"/>
      <c r="D129" s="72"/>
      <c r="E129" s="72"/>
      <c r="F129" s="72"/>
      <c r="G129" s="72"/>
      <c r="H129" s="72"/>
      <c r="I129" s="72"/>
      <c r="J129" s="72"/>
      <c r="K129" s="72"/>
      <c r="L129" s="72"/>
      <c r="M129" s="72"/>
      <c r="N129" s="72"/>
      <c r="O129" s="72"/>
      <c r="P129" s="72"/>
      <c r="Q129" s="72"/>
      <c r="R129" s="72"/>
      <c r="S129" s="72"/>
      <c r="T129" s="72"/>
      <c r="U129" s="72"/>
      <c r="V129" s="72"/>
      <c r="W129" s="72"/>
      <c r="X129" s="72"/>
      <c r="Y129" s="72"/>
      <c r="Z129" s="72" t="s">
        <v>464</v>
      </c>
      <c r="AA129" s="72"/>
      <c r="AB129" s="72"/>
      <c r="AC129" s="72"/>
      <c r="AD129" s="72"/>
      <c r="AE129" s="72"/>
      <c r="AF129" s="72"/>
      <c r="AG129" s="72"/>
      <c r="AH129" s="72"/>
      <c r="AI129" s="72"/>
      <c r="AJ129" s="72"/>
      <c r="AK129" s="72"/>
      <c r="AL129" s="72"/>
    </row>
    <row r="130" spans="1:56" ht="13.2">
      <c r="A130" s="72"/>
      <c r="B130" s="72"/>
      <c r="C130" s="2080" t="s">
        <v>439</v>
      </c>
      <c r="D130" s="2081"/>
      <c r="E130" s="2081"/>
      <c r="F130" s="2081"/>
      <c r="G130" s="2081"/>
      <c r="H130" s="2081"/>
      <c r="I130" s="2081"/>
      <c r="J130" s="2081"/>
      <c r="K130" s="2081"/>
      <c r="L130" s="494" t="s">
        <v>462</v>
      </c>
      <c r="M130" s="72"/>
      <c r="O130" s="72"/>
      <c r="P130" s="72"/>
      <c r="Q130" s="72"/>
      <c r="R130" s="72"/>
      <c r="S130" s="72"/>
      <c r="T130" s="72"/>
      <c r="U130" s="72"/>
      <c r="V130" s="72"/>
      <c r="W130" s="72"/>
      <c r="X130" s="72"/>
      <c r="AL130" s="72"/>
    </row>
    <row r="131" spans="1:56" ht="13.2">
      <c r="A131" s="72"/>
      <c r="B131" s="72"/>
      <c r="C131" s="72"/>
      <c r="D131" s="72"/>
      <c r="E131" s="72"/>
      <c r="F131" s="72"/>
      <c r="G131" s="72"/>
      <c r="H131" s="72"/>
      <c r="I131" s="72"/>
      <c r="J131" s="72"/>
      <c r="K131" s="72"/>
      <c r="L131" s="72"/>
      <c r="M131" s="72"/>
      <c r="N131" s="72"/>
      <c r="O131" s="72"/>
      <c r="P131" s="72"/>
      <c r="Q131" s="72"/>
      <c r="R131" s="72"/>
      <c r="S131" s="72"/>
      <c r="T131" s="72"/>
      <c r="U131" s="72"/>
      <c r="V131" s="72"/>
      <c r="W131" s="72"/>
      <c r="X131" s="72"/>
      <c r="Y131" s="1787" t="s">
        <v>2332</v>
      </c>
      <c r="Z131" s="2070"/>
      <c r="AA131" s="2070"/>
      <c r="AB131" s="2070"/>
      <c r="AC131" s="2070"/>
      <c r="AD131" s="2070"/>
      <c r="AE131" s="2070"/>
      <c r="AF131" s="2070"/>
      <c r="AG131" s="2070"/>
      <c r="AH131" s="2070"/>
      <c r="AI131" s="2070"/>
      <c r="AJ131" s="2070"/>
      <c r="AK131" s="2070"/>
      <c r="AL131" s="72"/>
    </row>
    <row r="132" spans="1:56" ht="13.2">
      <c r="A132" s="72"/>
      <c r="B132" s="72"/>
      <c r="C132" s="72"/>
      <c r="D132" s="72"/>
      <c r="E132" s="72"/>
      <c r="F132" s="72"/>
      <c r="G132" s="72"/>
      <c r="H132" s="72"/>
      <c r="I132" s="72"/>
      <c r="J132" s="72"/>
      <c r="K132" s="72"/>
      <c r="L132" s="72"/>
      <c r="M132" s="72"/>
      <c r="N132" s="72"/>
      <c r="O132" s="72"/>
      <c r="P132" s="72"/>
      <c r="Q132" s="72"/>
      <c r="R132" s="72"/>
      <c r="S132" s="72"/>
      <c r="T132" s="72"/>
      <c r="U132" s="72"/>
      <c r="V132" s="72"/>
      <c r="W132" s="72"/>
      <c r="X132" s="72"/>
      <c r="Y132" s="72"/>
      <c r="Z132" s="72" t="s">
        <v>465</v>
      </c>
      <c r="AA132" s="72"/>
      <c r="AB132" s="72"/>
      <c r="AC132" s="72"/>
      <c r="AD132" s="72"/>
      <c r="AE132" s="72"/>
      <c r="AF132" s="72"/>
      <c r="AG132" s="72"/>
      <c r="AH132" s="72"/>
      <c r="AI132" s="72"/>
      <c r="AJ132" s="72"/>
      <c r="AK132" s="72"/>
      <c r="AL132" s="72"/>
    </row>
    <row r="133" spans="1:56" ht="13.2">
      <c r="C133" s="72"/>
      <c r="D133" s="72"/>
      <c r="E133" s="72"/>
      <c r="F133" s="72"/>
      <c r="G133" s="72"/>
      <c r="H133" s="72"/>
      <c r="I133" s="72"/>
      <c r="J133" s="72"/>
      <c r="K133" s="72"/>
      <c r="L133" s="72"/>
      <c r="M133" s="72"/>
      <c r="N133" s="72"/>
      <c r="O133" s="72"/>
      <c r="P133" s="72"/>
      <c r="Q133" s="72"/>
      <c r="R133" s="72"/>
      <c r="S133" s="72"/>
      <c r="T133" s="72"/>
      <c r="U133" s="72"/>
      <c r="V133" s="72"/>
      <c r="W133" s="72"/>
      <c r="X133" s="72"/>
    </row>
    <row r="134" spans="1:56" ht="13.2">
      <c r="A134" s="1352"/>
      <c r="B134" s="1352"/>
      <c r="C134" s="72"/>
      <c r="D134" s="72"/>
      <c r="E134" s="72"/>
      <c r="F134" s="72"/>
      <c r="G134" s="72"/>
      <c r="H134" s="72"/>
      <c r="I134" s="72"/>
      <c r="J134" s="72"/>
      <c r="K134" s="72"/>
      <c r="L134" s="72"/>
      <c r="M134" s="72"/>
      <c r="N134" s="72"/>
      <c r="O134" s="72"/>
      <c r="P134" s="72"/>
      <c r="Q134" s="72"/>
      <c r="R134" s="72"/>
      <c r="S134" s="72"/>
      <c r="T134" s="72"/>
      <c r="U134" s="72"/>
      <c r="V134" s="72"/>
      <c r="W134" s="72"/>
      <c r="X134" s="72"/>
      <c r="Y134" s="1787" t="s">
        <v>2333</v>
      </c>
      <c r="Z134" s="2070"/>
      <c r="AA134" s="2070"/>
      <c r="AB134" s="2070"/>
      <c r="AC134" s="2070"/>
      <c r="AD134" s="2070"/>
      <c r="AE134" s="2070"/>
      <c r="AF134" s="2070"/>
      <c r="AG134" s="2070"/>
      <c r="AH134" s="2070"/>
      <c r="AI134" s="2070"/>
      <c r="AJ134" s="2070"/>
      <c r="AK134" s="2070"/>
      <c r="AL134" s="1343"/>
      <c r="AM134" s="1343"/>
      <c r="AN134" s="1343"/>
      <c r="AO134" s="1343"/>
      <c r="AP134" s="1343"/>
      <c r="AQ134" s="1343"/>
      <c r="AR134" s="1343"/>
      <c r="AS134" s="1343"/>
      <c r="AT134" s="1343"/>
      <c r="AU134" s="1343"/>
      <c r="AV134" s="1343"/>
      <c r="AW134" s="1343"/>
      <c r="AX134" s="1343"/>
      <c r="AY134" s="1343"/>
      <c r="AZ134" s="1343"/>
      <c r="BA134" s="1343"/>
      <c r="BB134" s="1343"/>
      <c r="BC134" s="1343"/>
      <c r="BD134" s="1343"/>
    </row>
    <row r="135" spans="1:56" s="8" customFormat="1" ht="13.2">
      <c r="A135" s="776"/>
      <c r="C135" s="72"/>
      <c r="D135" s="72"/>
      <c r="E135" s="72"/>
      <c r="F135" s="72"/>
      <c r="G135" s="72"/>
      <c r="H135" s="72"/>
      <c r="I135" s="72"/>
      <c r="J135" s="72"/>
      <c r="K135" s="72"/>
      <c r="L135" s="72"/>
      <c r="M135" s="72"/>
      <c r="N135" s="72"/>
      <c r="O135" s="72"/>
      <c r="P135" s="72"/>
      <c r="Q135" s="72"/>
      <c r="R135" s="72"/>
      <c r="S135" s="72"/>
      <c r="T135" s="72"/>
      <c r="U135" s="72"/>
      <c r="V135" s="72"/>
      <c r="W135" s="72"/>
      <c r="X135" s="72"/>
      <c r="Y135" s="72"/>
      <c r="Z135" s="72" t="s">
        <v>466</v>
      </c>
      <c r="AA135" s="72"/>
      <c r="AB135" s="72"/>
      <c r="AC135" s="72"/>
      <c r="AD135" s="72"/>
      <c r="AE135" s="72"/>
      <c r="AF135" s="72"/>
      <c r="AG135" s="72"/>
      <c r="AH135" s="72"/>
      <c r="AI135" s="72"/>
      <c r="AJ135" s="72"/>
      <c r="AK135" s="72"/>
      <c r="AL135" s="777"/>
    </row>
    <row r="136" spans="1:56" ht="13.2">
      <c r="A136" s="776"/>
      <c r="B136" s="8"/>
      <c r="AL136" s="777"/>
    </row>
    <row r="137" spans="1:56" ht="13.2">
      <c r="A137" s="72"/>
      <c r="B137" s="8"/>
      <c r="AL137" s="72"/>
    </row>
    <row r="138" spans="1:56" ht="13.2">
      <c r="A138" s="72"/>
      <c r="AL138" s="72"/>
    </row>
    <row r="139" spans="1:56" ht="13.2">
      <c r="A139" s="72"/>
      <c r="AL139" s="72"/>
    </row>
    <row r="140" spans="1:56" ht="13.2">
      <c r="A140" s="72"/>
      <c r="AL140" s="72"/>
    </row>
    <row r="141" spans="1:56" ht="13.2">
      <c r="A141" s="72"/>
      <c r="AL141" s="72"/>
    </row>
    <row r="142" spans="1:56" ht="13.2">
      <c r="A142" s="72"/>
      <c r="AL142" s="72"/>
    </row>
    <row r="143" spans="1:56" ht="13.2">
      <c r="A143" s="72"/>
      <c r="AL143" s="72"/>
    </row>
    <row r="144" spans="1:56" ht="13.2">
      <c r="A144" s="72"/>
      <c r="AL144" s="72"/>
    </row>
    <row r="145" spans="1:72" ht="13.2">
      <c r="A145" s="72"/>
      <c r="C145" s="72"/>
      <c r="D145" s="8"/>
      <c r="E145" s="8"/>
      <c r="F145" s="8"/>
      <c r="G145" s="8"/>
      <c r="H145" s="8"/>
      <c r="I145" s="8"/>
      <c r="J145" s="8"/>
      <c r="K145" s="8"/>
      <c r="L145" s="8"/>
      <c r="M145" s="8"/>
      <c r="N145" s="8"/>
      <c r="O145" s="8"/>
      <c r="P145" s="8"/>
      <c r="Q145" s="8"/>
      <c r="R145" s="8"/>
      <c r="S145" s="8"/>
      <c r="T145" s="8"/>
      <c r="U145" s="8"/>
      <c r="V145" s="8"/>
      <c r="W145" s="72"/>
      <c r="X145" s="72"/>
      <c r="Y145" s="72"/>
      <c r="Z145" s="72"/>
      <c r="AA145" s="72"/>
      <c r="AB145" s="72"/>
      <c r="AC145" s="72"/>
      <c r="AD145" s="72"/>
      <c r="AE145" s="72"/>
      <c r="AF145" s="72"/>
      <c r="AG145" s="72"/>
      <c r="AH145" s="72"/>
      <c r="AI145" s="72"/>
      <c r="AJ145" s="72"/>
      <c r="AK145" s="72"/>
      <c r="AL145" s="72"/>
    </row>
    <row r="146" spans="1:72" ht="13.2">
      <c r="A146" s="72"/>
      <c r="D146" s="328"/>
      <c r="E146" s="328"/>
      <c r="F146" s="328"/>
      <c r="G146" s="328"/>
      <c r="H146" s="328"/>
      <c r="I146" s="328"/>
      <c r="J146" s="328"/>
      <c r="K146" s="328"/>
      <c r="L146" s="328"/>
      <c r="M146" s="328"/>
      <c r="N146" s="328"/>
      <c r="O146" s="328"/>
      <c r="P146" s="328"/>
      <c r="Q146" s="328"/>
      <c r="R146" s="328"/>
      <c r="S146" s="328"/>
      <c r="T146" s="328"/>
      <c r="U146" s="328"/>
      <c r="V146" s="328"/>
      <c r="W146" s="328"/>
      <c r="X146" s="328"/>
      <c r="Y146" s="328"/>
      <c r="Z146" s="328"/>
      <c r="AA146" s="328"/>
      <c r="AB146" s="328"/>
      <c r="AC146" s="328"/>
      <c r="AD146" s="328"/>
      <c r="AE146" s="328"/>
      <c r="AF146" s="328"/>
      <c r="AG146" s="328"/>
      <c r="AH146" s="328"/>
      <c r="AI146" s="328"/>
      <c r="AJ146" s="328"/>
      <c r="AK146" s="72"/>
      <c r="AL146" s="72"/>
    </row>
    <row r="147" spans="1:72" ht="13.2">
      <c r="A147" s="72"/>
      <c r="C147" s="328"/>
      <c r="D147" s="328"/>
      <c r="E147" s="328"/>
      <c r="F147" s="328"/>
      <c r="G147" s="328"/>
      <c r="H147" s="328"/>
      <c r="I147" s="328"/>
      <c r="J147" s="328"/>
      <c r="K147" s="72"/>
      <c r="L147" s="72"/>
      <c r="M147" s="72"/>
      <c r="N147" s="72"/>
      <c r="O147" s="72"/>
      <c r="P147" s="72"/>
      <c r="Q147" s="72"/>
      <c r="R147" s="72"/>
      <c r="S147" s="72"/>
      <c r="T147" s="72"/>
      <c r="U147" s="72"/>
      <c r="V147" s="72"/>
      <c r="W147" s="72"/>
      <c r="X147" s="72"/>
      <c r="Y147" s="72"/>
      <c r="Z147" s="72"/>
      <c r="AA147" s="72"/>
      <c r="AB147" s="72"/>
      <c r="AC147" s="72"/>
      <c r="AD147" s="72"/>
      <c r="AE147" s="72"/>
      <c r="AF147" s="72"/>
      <c r="AG147" s="72"/>
      <c r="AH147" s="72"/>
      <c r="AI147" s="328"/>
      <c r="AJ147" s="328"/>
      <c r="AK147" s="72"/>
      <c r="AL147" s="72"/>
    </row>
    <row r="148" spans="1:72" ht="13.2">
      <c r="A148" s="72"/>
      <c r="C148" s="328"/>
      <c r="D148" s="328"/>
      <c r="E148" s="328"/>
      <c r="F148" s="328"/>
      <c r="G148" s="328"/>
      <c r="H148" s="328"/>
      <c r="I148" s="328"/>
      <c r="J148" s="328"/>
      <c r="K148" s="72"/>
      <c r="L148" s="72"/>
      <c r="M148" s="72"/>
      <c r="N148" s="72"/>
      <c r="O148" s="72"/>
      <c r="P148" s="72"/>
      <c r="Q148" s="72"/>
      <c r="R148" s="72"/>
      <c r="S148" s="72"/>
      <c r="T148" s="72"/>
      <c r="U148" s="72"/>
      <c r="V148" s="72"/>
      <c r="W148" s="72"/>
      <c r="X148" s="72"/>
      <c r="Y148" s="72"/>
      <c r="Z148" s="72"/>
      <c r="AA148" s="72"/>
      <c r="AB148" s="72"/>
      <c r="AC148" s="72"/>
      <c r="AD148" s="72"/>
      <c r="AE148" s="72"/>
      <c r="AF148" s="72"/>
      <c r="AG148" s="72"/>
      <c r="AH148" s="72"/>
      <c r="AI148" s="328"/>
      <c r="AJ148" s="328"/>
      <c r="AK148" s="72"/>
      <c r="AL148" s="72"/>
    </row>
    <row r="149" spans="1:72" ht="13.2">
      <c r="A149" s="72"/>
      <c r="D149" s="328"/>
      <c r="E149" s="328"/>
      <c r="F149" s="328"/>
      <c r="G149" s="328"/>
      <c r="H149" s="328"/>
      <c r="I149" s="328"/>
      <c r="J149" s="328"/>
      <c r="K149" s="72"/>
      <c r="L149" s="72"/>
      <c r="M149" s="72"/>
      <c r="N149" s="72"/>
      <c r="O149" s="72"/>
      <c r="P149" s="72"/>
      <c r="Q149" s="72"/>
      <c r="R149" s="72"/>
      <c r="S149" s="72"/>
      <c r="T149" s="72"/>
      <c r="U149" s="72"/>
      <c r="V149" s="72"/>
      <c r="W149" s="72"/>
      <c r="X149" s="72"/>
      <c r="Y149" s="72"/>
      <c r="Z149" s="72"/>
      <c r="AA149" s="72"/>
      <c r="AB149" s="72"/>
      <c r="AC149" s="72"/>
      <c r="AD149" s="72"/>
      <c r="AE149" s="72"/>
      <c r="AF149" s="72"/>
      <c r="AG149" s="72"/>
      <c r="AH149" s="72"/>
      <c r="AI149" s="328"/>
      <c r="AJ149" s="328"/>
      <c r="AK149" s="72"/>
      <c r="AL149" s="72"/>
    </row>
    <row r="150" spans="1:72" ht="12.75" customHeight="1">
      <c r="A150" s="72"/>
      <c r="D150" s="72"/>
      <c r="E150" s="72"/>
      <c r="F150" s="72"/>
      <c r="G150" s="72"/>
      <c r="H150" s="72"/>
      <c r="I150" s="72"/>
      <c r="J150" s="72"/>
      <c r="K150" s="72"/>
      <c r="L150" s="72"/>
      <c r="M150" s="72"/>
      <c r="N150" s="72"/>
      <c r="O150" s="72"/>
      <c r="P150" s="72"/>
      <c r="Q150" s="72"/>
      <c r="R150" s="72"/>
      <c r="S150" s="72"/>
      <c r="T150" s="72"/>
      <c r="U150" s="72"/>
      <c r="V150" s="72"/>
      <c r="W150" s="72"/>
      <c r="X150" s="72"/>
      <c r="Y150" s="72"/>
      <c r="Z150" s="72"/>
      <c r="AA150" s="72"/>
      <c r="AB150" s="72"/>
      <c r="AC150" s="72"/>
      <c r="AD150" s="72"/>
      <c r="AE150" s="72"/>
      <c r="AF150" s="72"/>
      <c r="AG150" s="72"/>
      <c r="AH150" s="72"/>
      <c r="AI150" s="72"/>
      <c r="AJ150" s="72"/>
      <c r="AK150" s="72"/>
      <c r="AL150" s="72"/>
    </row>
    <row r="151" spans="1:72" ht="12.75" customHeight="1">
      <c r="A151" s="72"/>
      <c r="D151" s="72"/>
      <c r="E151" s="72"/>
      <c r="F151" s="72"/>
      <c r="G151" s="72"/>
      <c r="H151" s="72"/>
      <c r="I151" s="72"/>
      <c r="J151" s="72"/>
      <c r="K151" s="72"/>
      <c r="L151" s="72"/>
      <c r="M151" s="72"/>
      <c r="N151" s="72"/>
      <c r="O151" s="72"/>
      <c r="P151" s="72"/>
      <c r="Q151" s="72"/>
      <c r="R151" s="72"/>
      <c r="S151" s="72"/>
      <c r="T151" s="72"/>
      <c r="U151" s="72"/>
      <c r="V151" s="72"/>
      <c r="W151" s="72"/>
      <c r="X151" s="72"/>
      <c r="Y151" s="72"/>
      <c r="Z151" s="72"/>
      <c r="AA151" s="72"/>
      <c r="AB151" s="72"/>
      <c r="AC151" s="72"/>
      <c r="AD151" s="72"/>
      <c r="AE151" s="72"/>
      <c r="AF151" s="72"/>
      <c r="AG151" s="72"/>
      <c r="AH151" s="72"/>
      <c r="AI151" s="72"/>
      <c r="AJ151" s="72"/>
      <c r="AK151" s="72"/>
      <c r="AL151" s="72"/>
    </row>
    <row r="152" spans="1:72" ht="12.75" customHeight="1">
      <c r="A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72"/>
      <c r="AA152" s="72"/>
      <c r="AB152" s="72"/>
      <c r="AC152" s="72"/>
      <c r="AD152" s="72"/>
      <c r="AE152" s="72"/>
      <c r="AF152" s="72"/>
      <c r="AG152" s="72"/>
      <c r="AH152" s="72"/>
      <c r="AI152" s="72"/>
      <c r="AJ152" s="72"/>
      <c r="AK152" s="72"/>
      <c r="AL152" s="72"/>
    </row>
    <row r="153" spans="1:72" ht="12.75" customHeight="1">
      <c r="A153" s="72"/>
      <c r="D153" s="72"/>
      <c r="E153" s="72"/>
      <c r="F153" s="72"/>
      <c r="G153" s="72"/>
      <c r="H153" s="72"/>
      <c r="I153" s="72"/>
      <c r="J153" s="72"/>
      <c r="K153" s="72"/>
      <c r="L153" s="72"/>
      <c r="M153" s="72"/>
      <c r="N153" s="72"/>
      <c r="O153" s="72"/>
      <c r="P153" s="72"/>
      <c r="Q153" s="72"/>
      <c r="R153" s="72"/>
      <c r="S153" s="72"/>
      <c r="T153" s="72"/>
      <c r="U153" s="72"/>
      <c r="V153" s="72"/>
      <c r="W153" s="72"/>
      <c r="X153" s="72"/>
      <c r="Y153" s="72"/>
      <c r="Z153" s="72"/>
      <c r="AA153" s="72"/>
      <c r="AB153" s="72"/>
      <c r="AC153" s="72"/>
      <c r="AD153" s="72"/>
      <c r="AE153" s="72"/>
      <c r="AF153" s="72"/>
      <c r="AG153" s="72"/>
      <c r="AH153" s="72"/>
      <c r="AI153" s="72"/>
      <c r="AJ153" s="72"/>
      <c r="AK153" s="72"/>
      <c r="AL153" s="72"/>
    </row>
    <row r="154" spans="1:72" ht="12.75" customHeight="1">
      <c r="D154" s="72"/>
      <c r="E154" s="72"/>
      <c r="F154" s="72"/>
      <c r="G154" s="72"/>
      <c r="H154" s="72"/>
      <c r="I154" s="72"/>
      <c r="J154" s="72"/>
      <c r="K154" s="72"/>
      <c r="L154" s="72"/>
      <c r="M154" s="72"/>
      <c r="N154" s="72"/>
      <c r="O154" s="72"/>
      <c r="P154" s="72"/>
      <c r="Q154" s="72"/>
      <c r="R154" s="72"/>
      <c r="S154" s="72"/>
      <c r="T154" s="72"/>
      <c r="U154" s="72"/>
      <c r="V154" s="72"/>
      <c r="W154" s="72"/>
      <c r="X154" s="72"/>
      <c r="Y154" s="72"/>
      <c r="Z154" s="72"/>
      <c r="AA154" s="72"/>
      <c r="AB154" s="72"/>
      <c r="AC154" s="72"/>
      <c r="AD154" s="72"/>
      <c r="AE154" s="72"/>
      <c r="AF154" s="72"/>
      <c r="AG154" s="72"/>
      <c r="AH154" s="72"/>
    </row>
    <row r="155" spans="1:72" ht="12.75" customHeight="1">
      <c r="D155" s="17"/>
      <c r="F155" s="17"/>
      <c r="G155" s="17"/>
      <c r="H155" s="17"/>
      <c r="I155" s="17"/>
      <c r="J155" s="17"/>
      <c r="K155" s="17"/>
      <c r="L155" s="17"/>
      <c r="M155" s="17"/>
      <c r="N155" s="17"/>
      <c r="O155" s="72"/>
      <c r="P155" s="72"/>
      <c r="Q155" s="72"/>
      <c r="R155" s="72"/>
      <c r="S155" s="72"/>
      <c r="T155" s="72"/>
      <c r="U155" s="72"/>
      <c r="V155" s="72"/>
      <c r="W155" s="72"/>
      <c r="X155" s="72"/>
      <c r="Y155" s="72"/>
      <c r="Z155" s="72"/>
      <c r="AA155" s="72"/>
      <c r="AB155" s="72"/>
      <c r="AC155" s="72"/>
      <c r="AD155" s="72"/>
      <c r="AE155" s="72"/>
      <c r="AF155" s="72"/>
      <c r="AG155" s="72"/>
      <c r="AH155" s="72"/>
    </row>
    <row r="156" spans="1:72" ht="12.75" customHeight="1">
      <c r="D156" s="42" t="s">
        <v>722</v>
      </c>
      <c r="F156" s="42"/>
      <c r="G156" s="42"/>
      <c r="H156" s="42"/>
      <c r="I156" s="42"/>
      <c r="J156" s="42"/>
      <c r="K156" s="42"/>
      <c r="L156" s="42"/>
      <c r="M156" s="42"/>
      <c r="N156" s="42"/>
      <c r="O156" s="1787" t="s">
        <v>2334</v>
      </c>
      <c r="P156" s="2070"/>
      <c r="Q156" s="2070"/>
      <c r="R156" s="2070"/>
      <c r="S156" s="2070"/>
      <c r="T156" s="2070"/>
      <c r="U156" s="2070"/>
      <c r="V156" s="2070"/>
      <c r="W156" s="2070"/>
      <c r="X156" s="2070"/>
      <c r="Y156" s="2070"/>
      <c r="Z156" s="2070"/>
      <c r="AA156" s="2070"/>
      <c r="AB156" s="2070"/>
      <c r="AC156" s="2070"/>
      <c r="AD156" s="2070"/>
      <c r="AE156" s="2070"/>
      <c r="AF156" s="2070"/>
      <c r="AG156" s="2070"/>
      <c r="AH156" s="2070"/>
      <c r="BT156" s="16" t="s">
        <v>86</v>
      </c>
    </row>
    <row r="157" spans="1:72" ht="12.75" customHeight="1">
      <c r="D157" s="734" t="s">
        <v>602</v>
      </c>
      <c r="F157" s="42"/>
      <c r="G157" s="42"/>
      <c r="H157" s="42"/>
      <c r="I157" s="42"/>
      <c r="J157" s="42"/>
      <c r="K157" s="42"/>
      <c r="L157" s="42"/>
      <c r="M157" s="42"/>
      <c r="N157" s="42"/>
      <c r="O157" s="1797" t="s">
        <v>2335</v>
      </c>
      <c r="P157" s="1785"/>
      <c r="Q157" s="1785"/>
      <c r="R157" s="1785"/>
      <c r="S157" s="1785"/>
      <c r="T157" s="1785"/>
      <c r="U157" s="1785"/>
      <c r="V157" s="1785"/>
      <c r="W157" s="1785"/>
      <c r="X157" s="1785"/>
      <c r="Y157" s="1785"/>
      <c r="Z157" s="1785"/>
      <c r="AA157" s="1785"/>
      <c r="AB157" s="1785"/>
      <c r="AC157" s="1785"/>
      <c r="AD157" s="1785"/>
      <c r="AE157" s="1785"/>
      <c r="AF157" s="1785"/>
      <c r="AG157" s="1785"/>
      <c r="AH157" s="1785"/>
      <c r="AI157" s="16" t="s">
        <v>775</v>
      </c>
      <c r="BN157" s="47" t="s">
        <v>471</v>
      </c>
      <c r="BT157" s="16" t="s">
        <v>32</v>
      </c>
    </row>
    <row r="158" spans="1:72" ht="12.75" customHeight="1">
      <c r="D158" s="17" t="s">
        <v>603</v>
      </c>
      <c r="F158" s="17"/>
      <c r="G158" s="17"/>
      <c r="H158" s="17"/>
      <c r="I158" s="17"/>
      <c r="J158" s="17"/>
      <c r="K158" s="17"/>
      <c r="L158" s="17"/>
      <c r="M158" s="17"/>
      <c r="N158" s="17"/>
      <c r="O158" s="2165" t="s">
        <v>604</v>
      </c>
      <c r="P158" s="2165"/>
      <c r="Q158" s="2165"/>
      <c r="R158" s="2165"/>
      <c r="S158" s="2165"/>
      <c r="T158" s="2165"/>
      <c r="U158" s="2165"/>
      <c r="V158" s="2165"/>
      <c r="W158" s="2165"/>
      <c r="X158" s="2165"/>
      <c r="Y158" s="2165"/>
      <c r="Z158" s="2165"/>
      <c r="AA158" s="2165"/>
      <c r="AB158" s="2165"/>
      <c r="AC158" s="2165"/>
      <c r="AD158" s="2165"/>
      <c r="AE158" s="2165"/>
      <c r="AF158" s="2165"/>
      <c r="AG158" s="2165"/>
      <c r="AH158" s="2165"/>
      <c r="BN158" s="47" t="s">
        <v>472</v>
      </c>
      <c r="BT158" s="16" t="s">
        <v>33</v>
      </c>
    </row>
    <row r="159" spans="1:72" ht="12.75" customHeight="1">
      <c r="D159" s="42" t="s">
        <v>713</v>
      </c>
      <c r="F159" s="42"/>
      <c r="G159" s="42"/>
      <c r="H159" s="42"/>
      <c r="I159" s="42"/>
      <c r="J159" s="42"/>
      <c r="K159" s="42"/>
      <c r="L159" s="42"/>
      <c r="M159" s="42"/>
      <c r="N159" s="42"/>
      <c r="O159" s="1787" t="s">
        <v>2336</v>
      </c>
      <c r="P159" s="1788"/>
      <c r="Q159" s="1788"/>
      <c r="R159" s="1788"/>
      <c r="S159" s="1788"/>
      <c r="T159" s="1788"/>
      <c r="U159" s="1788"/>
      <c r="V159" s="1788"/>
      <c r="W159" s="1788"/>
      <c r="X159" s="1788"/>
      <c r="Y159" s="1788"/>
      <c r="Z159" s="1788"/>
      <c r="AA159" s="1788"/>
      <c r="AB159" s="1788"/>
      <c r="AC159" s="1788"/>
      <c r="AD159" s="1788"/>
      <c r="AE159" s="1788"/>
      <c r="AF159" s="1788"/>
      <c r="AG159" s="1788"/>
      <c r="AH159" s="1788"/>
      <c r="BN159" s="47" t="s">
        <v>80</v>
      </c>
      <c r="BT159" s="16" t="s">
        <v>432</v>
      </c>
    </row>
    <row r="160" spans="1:72" ht="12.75" customHeight="1">
      <c r="D160" s="42" t="s">
        <v>714</v>
      </c>
      <c r="F160" s="42"/>
      <c r="G160" s="42"/>
      <c r="H160" s="42"/>
      <c r="I160" s="42"/>
      <c r="J160" s="42"/>
      <c r="K160" s="42"/>
      <c r="L160" s="42"/>
      <c r="M160" s="42"/>
      <c r="N160" s="42"/>
      <c r="O160" s="1787" t="s">
        <v>439</v>
      </c>
      <c r="P160" s="2070"/>
      <c r="Q160" s="2070"/>
      <c r="R160" s="2070"/>
      <c r="S160" s="2070"/>
      <c r="T160" s="2070"/>
      <c r="U160" s="2070"/>
      <c r="V160" s="2070"/>
      <c r="W160" s="2070"/>
      <c r="X160" s="2070"/>
      <c r="Y160" s="18"/>
      <c r="Z160" s="18"/>
      <c r="AA160" s="18"/>
      <c r="AB160" s="18"/>
      <c r="AC160" s="18"/>
      <c r="AD160" s="18"/>
      <c r="AE160" s="18"/>
      <c r="AF160" s="18"/>
      <c r="BN160" s="47" t="s">
        <v>82</v>
      </c>
      <c r="BT160" s="16" t="s">
        <v>433</v>
      </c>
    </row>
    <row r="161" spans="1:72" ht="12.75" customHeight="1">
      <c r="D161" s="42" t="s">
        <v>715</v>
      </c>
      <c r="F161" s="42"/>
      <c r="G161" s="42"/>
      <c r="H161" s="42"/>
      <c r="I161" s="42"/>
      <c r="J161" s="42"/>
      <c r="K161" s="42"/>
      <c r="L161" s="42"/>
      <c r="M161" s="42"/>
      <c r="N161" s="42"/>
      <c r="O161" s="2162">
        <v>93721</v>
      </c>
      <c r="P161" s="2162"/>
      <c r="Q161" s="2162"/>
      <c r="R161" s="2162"/>
      <c r="S161" s="19"/>
      <c r="T161" s="19"/>
      <c r="U161" s="19"/>
      <c r="V161" s="19"/>
      <c r="W161" s="19"/>
      <c r="X161" s="19"/>
      <c r="Y161" s="19"/>
      <c r="Z161" s="19"/>
      <c r="AA161" s="19"/>
      <c r="AB161" s="19"/>
      <c r="AC161" s="19"/>
      <c r="AD161" s="19"/>
      <c r="AE161" s="19"/>
      <c r="AF161" s="19"/>
      <c r="BJ161" s="16" t="s">
        <v>531</v>
      </c>
      <c r="BN161" s="47" t="s">
        <v>83</v>
      </c>
      <c r="BT161" s="16" t="s">
        <v>434</v>
      </c>
    </row>
    <row r="162" spans="1:72" ht="12.75" customHeight="1">
      <c r="D162" s="42" t="s">
        <v>716</v>
      </c>
      <c r="F162" s="42"/>
      <c r="G162" s="42"/>
      <c r="H162" s="42"/>
      <c r="I162" s="42"/>
      <c r="J162" s="42"/>
      <c r="K162" s="42"/>
      <c r="L162" s="42"/>
      <c r="M162" s="42"/>
      <c r="N162" s="42"/>
      <c r="O162" s="1898" t="s">
        <v>2337</v>
      </c>
      <c r="P162" s="2164"/>
      <c r="Q162" s="2164"/>
      <c r="R162" s="2164"/>
      <c r="S162" s="2164"/>
      <c r="T162" s="2164"/>
      <c r="V162" s="271" t="s">
        <v>12</v>
      </c>
      <c r="W162" s="2163"/>
      <c r="X162" s="2163"/>
      <c r="Y162" s="20"/>
      <c r="Z162" s="20"/>
      <c r="AA162" s="20"/>
      <c r="AB162" s="20"/>
      <c r="AC162" s="20"/>
      <c r="AD162" s="20"/>
      <c r="AE162" s="20"/>
      <c r="AF162" s="20"/>
      <c r="BJ162" s="16" t="s">
        <v>119</v>
      </c>
      <c r="BN162" s="47" t="s">
        <v>84</v>
      </c>
      <c r="BT162" s="16" t="s">
        <v>435</v>
      </c>
    </row>
    <row r="163" spans="1:72" ht="12.75" customHeight="1">
      <c r="D163" s="42" t="s">
        <v>717</v>
      </c>
      <c r="F163" s="42"/>
      <c r="G163" s="42"/>
      <c r="H163" s="42"/>
      <c r="I163" s="42"/>
      <c r="J163" s="42"/>
      <c r="K163" s="42"/>
      <c r="L163" s="42"/>
      <c r="M163" s="42"/>
      <c r="N163" s="42"/>
      <c r="O163" s="1898" t="s">
        <v>136</v>
      </c>
      <c r="P163" s="2164"/>
      <c r="Q163" s="2164"/>
      <c r="R163" s="2164"/>
      <c r="S163" s="2164"/>
      <c r="T163" s="2164"/>
      <c r="U163" s="20"/>
      <c r="V163" s="20"/>
      <c r="W163" s="20"/>
      <c r="X163" s="20"/>
      <c r="Y163" s="20"/>
      <c r="Z163" s="20"/>
      <c r="AA163" s="20"/>
      <c r="AB163" s="20"/>
      <c r="AC163" s="20"/>
      <c r="AD163" s="20"/>
      <c r="AE163" s="20"/>
      <c r="AF163" s="20"/>
      <c r="BN163" s="47" t="s">
        <v>525</v>
      </c>
      <c r="BT163" s="16" t="s">
        <v>436</v>
      </c>
    </row>
    <row r="164" spans="1:72" ht="12.75" customHeight="1">
      <c r="D164" s="42" t="s">
        <v>718</v>
      </c>
      <c r="F164" s="42"/>
      <c r="G164" s="42"/>
      <c r="H164" s="42"/>
      <c r="I164" s="42"/>
      <c r="J164" s="42"/>
      <c r="K164" s="42"/>
      <c r="L164" s="42"/>
      <c r="M164" s="42"/>
      <c r="N164" s="42"/>
      <c r="O164" s="2069" t="s">
        <v>2338</v>
      </c>
      <c r="P164" s="2069"/>
      <c r="Q164" s="2069"/>
      <c r="R164" s="2069"/>
      <c r="S164" s="2069"/>
      <c r="T164" s="2069"/>
      <c r="U164" s="2069"/>
      <c r="V164" s="2069"/>
      <c r="W164" s="2069"/>
      <c r="X164" s="2069"/>
      <c r="Y164" s="2069"/>
      <c r="Z164" s="2069"/>
      <c r="AA164" s="2069"/>
      <c r="AB164" s="2069"/>
      <c r="AC164" s="2069"/>
      <c r="AD164" s="2069"/>
      <c r="AE164" s="2069"/>
      <c r="AF164" s="2069"/>
      <c r="AG164" s="2069"/>
      <c r="AH164" s="2069"/>
      <c r="BN164" s="47" t="s">
        <v>526</v>
      </c>
      <c r="BT164" s="16" t="s">
        <v>437</v>
      </c>
    </row>
    <row r="165" spans="1:72" ht="12.75" customHeight="1">
      <c r="C165" s="240"/>
      <c r="D165" s="396"/>
      <c r="E165" s="397"/>
      <c r="F165" s="396"/>
      <c r="G165" s="396"/>
      <c r="H165" s="396"/>
      <c r="I165" s="396"/>
      <c r="J165" s="396"/>
      <c r="K165" s="396"/>
      <c r="L165" s="396"/>
      <c r="M165" s="396"/>
      <c r="N165" s="396"/>
      <c r="O165" s="398"/>
      <c r="P165" s="398"/>
      <c r="Q165" s="398"/>
      <c r="R165" s="398"/>
      <c r="S165" s="398"/>
      <c r="T165" s="398"/>
      <c r="U165" s="398"/>
      <c r="V165" s="398"/>
      <c r="W165" s="398"/>
      <c r="X165" s="398"/>
      <c r="Y165" s="398"/>
      <c r="Z165" s="398"/>
      <c r="AA165" s="394"/>
      <c r="AB165" s="394"/>
      <c r="AC165" s="394"/>
      <c r="AD165" s="394"/>
      <c r="AE165" s="394"/>
      <c r="AF165" s="394"/>
      <c r="AG165" s="394"/>
      <c r="AH165" s="394"/>
      <c r="AI165" s="50"/>
      <c r="AJ165" s="50"/>
      <c r="AK165" s="50"/>
      <c r="AL165" s="50"/>
      <c r="BN165" s="47" t="s">
        <v>527</v>
      </c>
      <c r="BT165" s="16" t="s">
        <v>438</v>
      </c>
    </row>
    <row r="166" spans="1:72" ht="12.75" customHeight="1">
      <c r="C166" s="240" t="s">
        <v>775</v>
      </c>
      <c r="D166" s="395" t="s">
        <v>776</v>
      </c>
      <c r="E166" s="50"/>
      <c r="F166" s="395"/>
      <c r="G166" s="395"/>
      <c r="H166" s="395"/>
      <c r="I166" s="395"/>
      <c r="J166" s="395"/>
      <c r="K166" s="395"/>
      <c r="L166" s="395"/>
      <c r="M166" s="395"/>
      <c r="N166" s="395"/>
      <c r="O166" s="394"/>
      <c r="P166" s="394"/>
      <c r="Q166" s="394"/>
      <c r="R166" s="394"/>
      <c r="S166" s="394"/>
      <c r="T166" s="394"/>
      <c r="U166" s="394"/>
      <c r="V166" s="394"/>
      <c r="W166" s="394"/>
      <c r="X166" s="394"/>
      <c r="Y166" s="394"/>
      <c r="Z166" s="394"/>
      <c r="AA166" s="394"/>
      <c r="AB166" s="394"/>
      <c r="AC166" s="394"/>
      <c r="AD166" s="394"/>
      <c r="AE166" s="394"/>
      <c r="AF166" s="394"/>
      <c r="AG166" s="394"/>
      <c r="AH166" s="394"/>
      <c r="AI166" s="50"/>
      <c r="AJ166" s="50"/>
      <c r="AK166" s="50"/>
      <c r="AL166" s="50"/>
      <c r="BN166" s="47" t="s">
        <v>529</v>
      </c>
      <c r="BT166" s="16" t="s">
        <v>439</v>
      </c>
    </row>
    <row r="167" spans="1:72" ht="12.75" customHeight="1">
      <c r="C167" s="240"/>
      <c r="D167" s="2160" t="s">
        <v>2202</v>
      </c>
      <c r="E167" s="2160"/>
      <c r="F167" s="2160"/>
      <c r="G167" s="2160"/>
      <c r="H167" s="2160"/>
      <c r="I167" s="2160"/>
      <c r="J167" s="2160"/>
      <c r="K167" s="2160"/>
      <c r="L167" s="2160"/>
      <c r="M167" s="2160"/>
      <c r="N167" s="2160"/>
      <c r="O167" s="2160"/>
      <c r="P167" s="2160"/>
      <c r="Q167" s="2160"/>
      <c r="R167" s="2160"/>
      <c r="S167" s="2160"/>
      <c r="T167" s="2160"/>
      <c r="U167" s="2160"/>
      <c r="V167" s="2160"/>
      <c r="W167" s="2160"/>
      <c r="X167" s="2160"/>
      <c r="Y167" s="2160"/>
      <c r="Z167" s="398"/>
      <c r="AA167" s="394"/>
      <c r="AB167" s="394"/>
      <c r="AC167" s="394"/>
      <c r="AD167" s="394"/>
      <c r="AE167" s="394"/>
      <c r="AF167" s="394"/>
      <c r="AG167" s="394"/>
      <c r="AH167" s="394"/>
      <c r="AI167" s="50"/>
      <c r="AJ167" s="50"/>
      <c r="AK167" s="50"/>
      <c r="AL167" s="50"/>
      <c r="BN167" s="47" t="s">
        <v>532</v>
      </c>
      <c r="BT167" s="16" t="s">
        <v>440</v>
      </c>
    </row>
    <row r="168" spans="1:72" ht="12.75" customHeight="1">
      <c r="BN168" s="47" t="s">
        <v>533</v>
      </c>
      <c r="BT168" s="16" t="s">
        <v>441</v>
      </c>
    </row>
    <row r="169" spans="1:72" ht="13.2">
      <c r="A169" s="2091" t="s">
        <v>423</v>
      </c>
      <c r="B169" s="2091"/>
      <c r="C169" s="2091"/>
      <c r="D169" s="2091"/>
      <c r="E169" s="2091"/>
      <c r="F169" s="2091"/>
      <c r="G169" s="2091"/>
      <c r="H169" s="2091"/>
      <c r="I169" s="2091"/>
      <c r="J169" s="2091"/>
      <c r="K169" s="2091"/>
      <c r="L169" s="2091"/>
      <c r="M169" s="2091"/>
      <c r="N169" s="2091"/>
      <c r="O169" s="2091"/>
      <c r="P169" s="2091"/>
      <c r="Q169" s="2091"/>
      <c r="R169" s="2091"/>
      <c r="S169" s="2091"/>
      <c r="T169" s="2091"/>
      <c r="U169" s="2091"/>
      <c r="V169" s="2091"/>
      <c r="W169" s="2091"/>
      <c r="X169" s="2091"/>
      <c r="Y169" s="2091"/>
      <c r="Z169" s="2091"/>
      <c r="AA169" s="2091"/>
      <c r="AB169" s="2091"/>
      <c r="AC169" s="2091"/>
      <c r="AD169" s="2091"/>
      <c r="AE169" s="2091"/>
      <c r="AF169" s="2091"/>
      <c r="AG169" s="2091"/>
      <c r="AH169" s="2091"/>
      <c r="AI169" s="2091"/>
      <c r="AJ169" s="2091"/>
      <c r="AK169" s="2091"/>
      <c r="AL169" s="2091"/>
      <c r="BN169" s="47" t="s">
        <v>535</v>
      </c>
      <c r="BT169" s="16" t="s">
        <v>442</v>
      </c>
    </row>
    <row r="170" spans="1:72" ht="12.75" customHeight="1" thickBot="1">
      <c r="A170" s="2092"/>
      <c r="B170" s="2092"/>
      <c r="C170" s="2092"/>
      <c r="D170" s="2092"/>
      <c r="E170" s="2092"/>
      <c r="F170" s="2092"/>
      <c r="G170" s="2092"/>
      <c r="H170" s="2092"/>
      <c r="I170" s="2092"/>
      <c r="J170" s="2092"/>
      <c r="K170" s="2092"/>
      <c r="L170" s="2092"/>
      <c r="M170" s="2092"/>
      <c r="N170" s="2092"/>
      <c r="O170" s="2092"/>
      <c r="P170" s="2092"/>
      <c r="Q170" s="2092"/>
      <c r="R170" s="2092"/>
      <c r="S170" s="2092"/>
      <c r="T170" s="2092"/>
      <c r="U170" s="2092"/>
      <c r="V170" s="2092"/>
      <c r="W170" s="2092"/>
      <c r="X170" s="2092"/>
      <c r="Y170" s="2092"/>
      <c r="Z170" s="2092"/>
      <c r="AA170" s="2092"/>
      <c r="AB170" s="2092"/>
      <c r="AC170" s="2092"/>
      <c r="AD170" s="2092"/>
      <c r="AE170" s="2092"/>
      <c r="AF170" s="2092"/>
      <c r="AG170" s="2092"/>
      <c r="AH170" s="2092"/>
      <c r="AI170" s="2092"/>
      <c r="AJ170" s="2092"/>
      <c r="AK170" s="2092"/>
      <c r="AL170" s="2092"/>
      <c r="AM170" s="35"/>
      <c r="BN170" s="47" t="s">
        <v>536</v>
      </c>
      <c r="BT170" s="16" t="s">
        <v>443</v>
      </c>
    </row>
    <row r="171" spans="1:72" ht="13.8" thickTop="1">
      <c r="A171" s="35"/>
      <c r="B171" s="35"/>
      <c r="C171" s="35"/>
      <c r="D171" s="35"/>
      <c r="E171" s="35"/>
      <c r="F171" s="35"/>
      <c r="G171" s="3"/>
      <c r="H171" s="35"/>
      <c r="AK171" s="3"/>
      <c r="AL171" s="3"/>
      <c r="AM171" s="35"/>
      <c r="BN171" s="47" t="s">
        <v>537</v>
      </c>
      <c r="BT171" s="16" t="s">
        <v>444</v>
      </c>
    </row>
    <row r="172" spans="1:72" ht="13.2">
      <c r="A172" s="48" t="s">
        <v>719</v>
      </c>
      <c r="C172" s="48" t="s">
        <v>720</v>
      </c>
      <c r="D172" s="3"/>
      <c r="E172" s="3"/>
      <c r="F172" s="3"/>
      <c r="G172" s="3"/>
      <c r="H172" s="3"/>
      <c r="I172" s="3"/>
      <c r="T172" s="3"/>
      <c r="U172" s="3"/>
      <c r="V172" s="3"/>
      <c r="W172" s="3"/>
      <c r="X172" s="3"/>
      <c r="Y172" s="3"/>
      <c r="Z172" s="3"/>
      <c r="AA172" s="3"/>
      <c r="AB172" s="3"/>
      <c r="AC172" s="3"/>
      <c r="AD172" s="3"/>
      <c r="AE172" s="3"/>
      <c r="AF172" s="3"/>
      <c r="AH172" s="3"/>
      <c r="AJ172" s="3"/>
      <c r="AK172" s="3"/>
      <c r="AL172" s="3"/>
      <c r="BN172" s="47" t="s">
        <v>539</v>
      </c>
      <c r="BT172" s="16" t="s">
        <v>445</v>
      </c>
    </row>
    <row r="173" spans="1:72" ht="13.2">
      <c r="A173" s="35"/>
      <c r="C173" s="49"/>
      <c r="D173" s="50" t="s">
        <v>486</v>
      </c>
      <c r="J173" s="2157" t="s">
        <v>563</v>
      </c>
      <c r="K173" s="2157"/>
      <c r="L173" s="2157"/>
      <c r="M173" s="2157"/>
      <c r="N173" s="2157"/>
      <c r="O173" s="2157"/>
      <c r="P173" s="2157"/>
      <c r="Q173" s="2157"/>
      <c r="R173" s="2157"/>
      <c r="S173" s="2157"/>
      <c r="U173" s="51"/>
      <c r="X173" s="51"/>
      <c r="AF173" s="35"/>
      <c r="AH173" s="35"/>
      <c r="AJ173" s="3"/>
      <c r="AK173" s="3"/>
      <c r="AL173" s="3"/>
      <c r="BN173" s="47" t="s">
        <v>540</v>
      </c>
      <c r="BT173" s="16" t="s">
        <v>446</v>
      </c>
    </row>
    <row r="174" spans="1:72" ht="13.2">
      <c r="A174" s="35"/>
      <c r="C174" s="49"/>
      <c r="D174" s="35" t="s">
        <v>487</v>
      </c>
      <c r="E174" s="35"/>
      <c r="F174" s="35"/>
      <c r="G174" s="35"/>
      <c r="H174" s="35"/>
      <c r="I174" s="35"/>
      <c r="J174" s="35"/>
      <c r="K174" s="35"/>
      <c r="L174" s="35"/>
      <c r="M174" s="35"/>
      <c r="N174" s="35"/>
      <c r="O174" s="35"/>
      <c r="P174" s="35"/>
      <c r="Q174" s="35"/>
      <c r="R174" s="35"/>
      <c r="S174" s="35"/>
      <c r="U174" s="1786" t="s">
        <v>119</v>
      </c>
      <c r="V174" s="1786"/>
      <c r="W174" s="3"/>
      <c r="X174" s="3"/>
      <c r="Y174" s="3"/>
      <c r="Z174" s="3"/>
      <c r="AA174" s="3"/>
      <c r="AH174" s="35"/>
      <c r="AJ174" s="3"/>
      <c r="AK174" s="3"/>
      <c r="AL174" s="3"/>
      <c r="BN174" s="47" t="s">
        <v>660</v>
      </c>
      <c r="BT174" s="16" t="s">
        <v>447</v>
      </c>
    </row>
    <row r="175" spans="1:72" ht="13.2">
      <c r="A175" s="35"/>
      <c r="C175" s="17"/>
      <c r="D175" s="52"/>
      <c r="E175" s="16" t="s">
        <v>256</v>
      </c>
      <c r="O175" s="53"/>
      <c r="P175" s="35" t="s">
        <v>257</v>
      </c>
      <c r="Q175" s="35"/>
      <c r="R175" s="35"/>
      <c r="S175" s="35" t="s">
        <v>258</v>
      </c>
      <c r="U175" s="1803">
        <v>20</v>
      </c>
      <c r="V175" s="1803"/>
      <c r="W175" s="4" t="s">
        <v>259</v>
      </c>
      <c r="X175" s="2159">
        <v>114</v>
      </c>
      <c r="Y175" s="2159"/>
      <c r="Z175" s="35"/>
      <c r="AC175" s="35"/>
      <c r="AD175" s="35"/>
      <c r="AE175" s="35"/>
      <c r="AF175" s="35"/>
      <c r="AH175" s="35"/>
      <c r="AJ175" s="3"/>
      <c r="AK175" s="3"/>
      <c r="AL175" s="3"/>
      <c r="BN175" s="47" t="s">
        <v>661</v>
      </c>
      <c r="BT175" s="16" t="s">
        <v>448</v>
      </c>
    </row>
    <row r="176" spans="1:72" ht="13.2">
      <c r="A176" s="35"/>
      <c r="C176" s="54"/>
      <c r="D176" s="35" t="s">
        <v>307</v>
      </c>
      <c r="E176" s="35"/>
      <c r="F176" s="35"/>
      <c r="G176" s="35"/>
      <c r="H176" s="35"/>
      <c r="I176" s="35"/>
      <c r="J176" s="35"/>
      <c r="K176" s="35"/>
      <c r="L176" s="35"/>
      <c r="M176" s="35"/>
      <c r="N176" s="35"/>
      <c r="O176" s="35"/>
      <c r="S176" s="35"/>
      <c r="T176" s="3"/>
      <c r="U176" s="1786" t="s">
        <v>531</v>
      </c>
      <c r="V176" s="1786"/>
      <c r="W176" s="3"/>
      <c r="X176" s="3"/>
      <c r="Y176" s="3"/>
      <c r="AD176" s="35"/>
      <c r="AF176" s="35"/>
      <c r="AH176" s="35"/>
      <c r="AJ176" s="3"/>
      <c r="AK176" s="3"/>
      <c r="AL176" s="3"/>
      <c r="BN176" s="47" t="s">
        <v>663</v>
      </c>
      <c r="BT176" s="16" t="s">
        <v>449</v>
      </c>
    </row>
    <row r="177" spans="1:72" ht="13.2">
      <c r="A177" s="35"/>
      <c r="C177" s="54"/>
      <c r="D177" s="596" t="s">
        <v>1365</v>
      </c>
      <c r="AD177" s="35"/>
      <c r="AF177" s="35"/>
      <c r="AH177" s="35"/>
      <c r="AJ177" s="3"/>
      <c r="AK177" s="3"/>
      <c r="AL177" s="3"/>
      <c r="BN177" s="47" t="s">
        <v>664</v>
      </c>
      <c r="BT177" s="16" t="s">
        <v>450</v>
      </c>
    </row>
    <row r="178" spans="1:72" ht="13.2">
      <c r="A178" s="35"/>
      <c r="C178" s="54"/>
      <c r="E178" s="782" t="s">
        <v>257</v>
      </c>
      <c r="F178" s="597"/>
      <c r="G178" s="782"/>
      <c r="H178" s="782" t="s">
        <v>258</v>
      </c>
      <c r="I178" s="597"/>
      <c r="J178" s="2066"/>
      <c r="K178" s="2066"/>
      <c r="L178" s="781" t="s">
        <v>259</v>
      </c>
      <c r="M178" s="1925"/>
      <c r="N178" s="1925"/>
      <c r="O178" s="597"/>
      <c r="P178" s="597"/>
      <c r="Q178" s="597"/>
      <c r="R178" s="597"/>
      <c r="U178" s="743" t="s">
        <v>1366</v>
      </c>
      <c r="V178" s="597"/>
      <c r="W178" s="782"/>
      <c r="X178" s="782"/>
      <c r="Y178" s="782"/>
      <c r="Z178" s="782"/>
      <c r="AA178" s="782"/>
      <c r="AB178" s="782"/>
      <c r="AD178" s="2067"/>
      <c r="AE178" s="2067"/>
      <c r="AF178" s="2067"/>
      <c r="AG178" s="2067"/>
      <c r="AH178" s="2067"/>
      <c r="AJ178" s="3"/>
      <c r="AK178" s="3"/>
      <c r="AL178" s="3"/>
      <c r="BN178" s="47" t="s">
        <v>665</v>
      </c>
      <c r="BT178" s="16" t="s">
        <v>451</v>
      </c>
    </row>
    <row r="179" spans="1:72" ht="13.2">
      <c r="A179" s="35"/>
      <c r="C179" s="54"/>
      <c r="AE179" s="35"/>
      <c r="AJ179" s="3"/>
      <c r="AK179" s="3"/>
      <c r="AL179" s="3"/>
      <c r="BN179" s="47" t="s">
        <v>666</v>
      </c>
      <c r="BT179" s="16" t="s">
        <v>452</v>
      </c>
    </row>
    <row r="180" spans="1:72" ht="13.2">
      <c r="A180" s="35"/>
      <c r="C180" s="55"/>
      <c r="D180" s="3" t="s">
        <v>605</v>
      </c>
      <c r="O180" s="597"/>
      <c r="P180" s="782"/>
      <c r="Q180" s="597"/>
      <c r="R180" s="597"/>
      <c r="Y180" s="1786" t="s">
        <v>531</v>
      </c>
      <c r="Z180" s="2156"/>
      <c r="AE180" s="35"/>
      <c r="AJ180" s="3"/>
      <c r="AK180" s="3"/>
      <c r="AL180" s="3"/>
      <c r="BN180" s="47" t="s">
        <v>668</v>
      </c>
      <c r="BT180" s="16" t="s">
        <v>453</v>
      </c>
    </row>
    <row r="181" spans="1:72" ht="13.2">
      <c r="A181" s="35"/>
      <c r="C181" s="55"/>
      <c r="D181" s="57"/>
      <c r="E181" s="596" t="s">
        <v>1364</v>
      </c>
      <c r="R181" s="597"/>
      <c r="Z181" s="35"/>
      <c r="AA181" s="35"/>
      <c r="AE181" s="35"/>
      <c r="AF181" s="35"/>
      <c r="AH181" s="35"/>
      <c r="AJ181" s="3"/>
      <c r="AK181" s="3"/>
      <c r="AL181" s="3"/>
      <c r="BN181" s="47" t="s">
        <v>669</v>
      </c>
      <c r="BT181" s="16" t="s">
        <v>454</v>
      </c>
    </row>
    <row r="182" spans="1:72" ht="13.2">
      <c r="A182" s="35"/>
      <c r="C182" s="55"/>
      <c r="D182" s="56"/>
      <c r="E182" s="35"/>
      <c r="AJ182" s="3"/>
      <c r="AK182" s="3"/>
      <c r="AL182" s="3"/>
      <c r="BN182" s="47" t="s">
        <v>670</v>
      </c>
      <c r="BT182" s="16" t="s">
        <v>455</v>
      </c>
    </row>
    <row r="183" spans="1:72" ht="13.2">
      <c r="A183" s="48" t="s">
        <v>8</v>
      </c>
      <c r="C183" s="48" t="s">
        <v>9</v>
      </c>
      <c r="D183" s="3"/>
      <c r="E183" s="3"/>
      <c r="F183" s="3"/>
      <c r="G183" s="3"/>
      <c r="H183" s="3"/>
      <c r="I183" s="3"/>
      <c r="J183" s="3"/>
      <c r="K183" s="3"/>
      <c r="L183" s="3"/>
      <c r="M183" s="3"/>
      <c r="N183" s="3"/>
      <c r="O183" s="3"/>
      <c r="P183" s="3"/>
      <c r="W183" s="35"/>
      <c r="X183" s="35"/>
      <c r="Y183" s="35"/>
      <c r="Z183" s="35"/>
      <c r="AD183" s="3"/>
      <c r="AE183" s="3"/>
      <c r="AF183" s="3"/>
      <c r="AH183" s="3"/>
      <c r="AJ183" s="3"/>
      <c r="AK183" s="3"/>
      <c r="AL183" s="3"/>
      <c r="BN183" s="47" t="s">
        <v>632</v>
      </c>
      <c r="BT183" s="16" t="s">
        <v>456</v>
      </c>
    </row>
    <row r="184" spans="1:72" ht="13.2">
      <c r="A184" s="35"/>
      <c r="C184" s="58"/>
      <c r="D184" s="35" t="s">
        <v>10</v>
      </c>
      <c r="E184" s="35"/>
      <c r="F184" s="35"/>
      <c r="G184" s="35"/>
      <c r="H184" s="35"/>
      <c r="I184" s="1791" t="str">
        <f>H17</f>
        <v>The Arthur at Blackstone</v>
      </c>
      <c r="J184" s="1791"/>
      <c r="K184" s="1791"/>
      <c r="L184" s="1791"/>
      <c r="M184" s="1791"/>
      <c r="N184" s="1791"/>
      <c r="O184" s="1791"/>
      <c r="P184" s="1791"/>
      <c r="Q184" s="1791"/>
      <c r="R184" s="1791"/>
      <c r="S184" s="1791"/>
      <c r="T184" s="1791"/>
      <c r="U184" s="1791"/>
      <c r="V184" s="1791"/>
      <c r="W184" s="1791"/>
      <c r="X184" s="1791"/>
      <c r="Y184" s="1791"/>
      <c r="Z184" s="1791"/>
      <c r="AA184" s="1791"/>
      <c r="AB184" s="1791"/>
      <c r="AC184" s="1791"/>
      <c r="AD184" s="1791"/>
      <c r="AE184" s="1791"/>
      <c r="AF184" s="35"/>
      <c r="AH184" s="35"/>
      <c r="AJ184" s="3"/>
      <c r="AK184" s="3"/>
      <c r="AL184" s="3"/>
      <c r="BC184" s="35" t="s">
        <v>132</v>
      </c>
      <c r="BN184" s="47" t="s">
        <v>634</v>
      </c>
      <c r="BT184" s="16" t="s">
        <v>457</v>
      </c>
    </row>
    <row r="185" spans="1:72" ht="13.2">
      <c r="A185" s="35"/>
      <c r="C185" s="58"/>
      <c r="D185" s="35" t="s">
        <v>478</v>
      </c>
      <c r="E185" s="35"/>
      <c r="F185" s="35"/>
      <c r="G185" s="35"/>
      <c r="H185" s="35"/>
      <c r="I185" s="2075" t="s">
        <v>2339</v>
      </c>
      <c r="J185" s="1796"/>
      <c r="K185" s="1796"/>
      <c r="L185" s="1796"/>
      <c r="M185" s="1796"/>
      <c r="N185" s="1796"/>
      <c r="O185" s="1796"/>
      <c r="P185" s="1796"/>
      <c r="Q185" s="1796"/>
      <c r="R185" s="1796"/>
      <c r="S185" s="1796"/>
      <c r="T185" s="1796"/>
      <c r="U185" s="1796"/>
      <c r="V185" s="1796"/>
      <c r="W185" s="1796"/>
      <c r="X185" s="1796"/>
      <c r="Y185" s="1796"/>
      <c r="Z185" s="1796"/>
      <c r="AA185" s="1796"/>
      <c r="AB185" s="1796"/>
      <c r="AC185" s="1796"/>
      <c r="AD185" s="1796"/>
      <c r="AE185" s="1796"/>
      <c r="AF185" s="35"/>
      <c r="AH185" s="35"/>
      <c r="AJ185" s="3"/>
      <c r="AK185" s="3"/>
      <c r="AL185" s="3"/>
      <c r="BC185" s="326" t="s">
        <v>133</v>
      </c>
      <c r="BN185" s="47" t="s">
        <v>635</v>
      </c>
      <c r="BT185" s="16" t="s">
        <v>921</v>
      </c>
    </row>
    <row r="186" spans="1:72" ht="13.2">
      <c r="A186" s="35"/>
      <c r="C186" s="58"/>
      <c r="D186" s="35"/>
      <c r="E186" s="35" t="s">
        <v>67</v>
      </c>
      <c r="F186" s="35"/>
      <c r="G186" s="35"/>
      <c r="H186" s="35"/>
      <c r="I186" s="35"/>
      <c r="J186" s="35"/>
      <c r="K186" s="35"/>
      <c r="L186" s="35"/>
      <c r="M186" s="35"/>
      <c r="N186" s="35"/>
      <c r="O186" s="35"/>
      <c r="P186" s="35"/>
      <c r="S186" s="35"/>
      <c r="T186" s="35"/>
      <c r="AF186" s="35"/>
      <c r="AH186" s="35"/>
      <c r="AJ186" s="3"/>
      <c r="AK186" s="3"/>
      <c r="AL186" s="3"/>
      <c r="BN186" s="47" t="s">
        <v>636</v>
      </c>
      <c r="BT186" s="16" t="s">
        <v>922</v>
      </c>
    </row>
    <row r="187" spans="1:72" ht="12.75" customHeight="1">
      <c r="A187" s="35"/>
      <c r="C187" s="58"/>
      <c r="D187" s="35"/>
      <c r="E187" s="1943"/>
      <c r="F187" s="1943"/>
      <c r="G187" s="1943"/>
      <c r="H187" s="1943"/>
      <c r="I187" s="1943"/>
      <c r="J187" s="1943"/>
      <c r="K187" s="1943"/>
      <c r="L187" s="1943"/>
      <c r="M187" s="1943"/>
      <c r="N187" s="1943"/>
      <c r="O187" s="1943"/>
      <c r="P187" s="1943"/>
      <c r="Q187" s="1943"/>
      <c r="R187" s="1943"/>
      <c r="S187" s="1943"/>
      <c r="T187" s="1943"/>
      <c r="U187" s="1943"/>
      <c r="V187" s="1943"/>
      <c r="W187" s="1943"/>
      <c r="X187" s="1943"/>
      <c r="Y187" s="1943"/>
      <c r="Z187" s="1943"/>
      <c r="AA187" s="1943"/>
      <c r="AB187" s="1943"/>
      <c r="AC187" s="1943"/>
      <c r="AD187" s="1943"/>
      <c r="AE187" s="1943"/>
      <c r="AF187" s="35"/>
      <c r="AH187" s="35"/>
      <c r="AJ187" s="3"/>
      <c r="AK187" s="3"/>
      <c r="AL187" s="3"/>
      <c r="BN187" s="47" t="s">
        <v>637</v>
      </c>
      <c r="BT187" s="16" t="s">
        <v>923</v>
      </c>
    </row>
    <row r="188" spans="1:72" ht="13.2">
      <c r="A188" s="35"/>
      <c r="C188" s="58"/>
      <c r="D188" s="35"/>
      <c r="E188" s="1944"/>
      <c r="F188" s="1944"/>
      <c r="G188" s="1944"/>
      <c r="H188" s="1944"/>
      <c r="I188" s="1944"/>
      <c r="J188" s="1944"/>
      <c r="K188" s="1944"/>
      <c r="L188" s="1944"/>
      <c r="M188" s="1944"/>
      <c r="N188" s="1944"/>
      <c r="O188" s="1944"/>
      <c r="P188" s="1944"/>
      <c r="Q188" s="1944"/>
      <c r="R188" s="1944"/>
      <c r="S188" s="1944"/>
      <c r="T188" s="1944"/>
      <c r="U188" s="1944"/>
      <c r="V188" s="1944"/>
      <c r="W188" s="1944"/>
      <c r="X188" s="1944"/>
      <c r="Y188" s="1944"/>
      <c r="Z188" s="1944"/>
      <c r="AA188" s="1944"/>
      <c r="AB188" s="1944"/>
      <c r="AC188" s="1944"/>
      <c r="AD188" s="1944"/>
      <c r="AE188" s="1944"/>
      <c r="AF188" s="35"/>
      <c r="AH188" s="35"/>
      <c r="AJ188" s="3"/>
      <c r="AK188" s="3"/>
      <c r="AL188" s="3"/>
      <c r="BN188" s="47" t="s">
        <v>639</v>
      </c>
      <c r="BT188" s="16" t="s">
        <v>924</v>
      </c>
    </row>
    <row r="189" spans="1:72" ht="13.2">
      <c r="A189" s="35"/>
      <c r="C189" s="58"/>
      <c r="D189" s="35" t="s">
        <v>479</v>
      </c>
      <c r="E189" s="35"/>
      <c r="I189" s="1787" t="s">
        <v>439</v>
      </c>
      <c r="J189" s="1788"/>
      <c r="K189" s="1788"/>
      <c r="L189" s="1788"/>
      <c r="M189" s="1788"/>
      <c r="N189" s="1788"/>
      <c r="O189" s="1788"/>
      <c r="P189" s="1788"/>
      <c r="Q189" s="35" t="s">
        <v>481</v>
      </c>
      <c r="T189" s="1788" t="s">
        <v>439</v>
      </c>
      <c r="U189" s="1788"/>
      <c r="V189" s="1788"/>
      <c r="W189" s="1788"/>
      <c r="X189" s="1788"/>
      <c r="Y189" s="1788"/>
      <c r="Z189" s="1788"/>
      <c r="AA189" s="1788"/>
      <c r="AB189" s="1788"/>
      <c r="AC189" s="1788"/>
      <c r="AD189" s="1788"/>
      <c r="AE189" s="1788"/>
      <c r="AH189" s="35"/>
      <c r="AJ189" s="3"/>
      <c r="AK189" s="3"/>
      <c r="AL189" s="3"/>
      <c r="BC189" s="16" t="s">
        <v>86</v>
      </c>
      <c r="BH189" s="72" t="s">
        <v>136</v>
      </c>
      <c r="BN189" s="47" t="s">
        <v>640</v>
      </c>
      <c r="BT189" s="16" t="s">
        <v>120</v>
      </c>
    </row>
    <row r="190" spans="1:72" ht="13.2">
      <c r="A190" s="35"/>
      <c r="C190" s="59"/>
      <c r="D190" s="35" t="s">
        <v>482</v>
      </c>
      <c r="E190" s="35"/>
      <c r="F190" s="35"/>
      <c r="G190" s="35"/>
      <c r="I190" s="1796">
        <v>93703</v>
      </c>
      <c r="J190" s="1796"/>
      <c r="K190" s="1796"/>
      <c r="L190" s="1796"/>
      <c r="M190" s="1796"/>
      <c r="N190" s="1796"/>
      <c r="O190" s="35" t="s">
        <v>484</v>
      </c>
      <c r="P190" s="35"/>
      <c r="Q190" s="35"/>
      <c r="R190" s="35"/>
      <c r="S190" s="35"/>
      <c r="T190" s="2158">
        <v>35</v>
      </c>
      <c r="U190" s="2158"/>
      <c r="V190" s="2158"/>
      <c r="W190" s="2158"/>
      <c r="X190" s="2158"/>
      <c r="Y190" s="2158"/>
      <c r="Z190" s="2158"/>
      <c r="AA190" s="2158"/>
      <c r="AB190" s="2158"/>
      <c r="AC190" s="2158"/>
      <c r="AD190" s="2158"/>
      <c r="AE190" s="2158"/>
      <c r="AF190" s="35"/>
      <c r="AH190" s="35"/>
      <c r="AJ190" s="3"/>
      <c r="AK190" s="3"/>
      <c r="AL190" s="3"/>
      <c r="BC190" s="16" t="s">
        <v>729</v>
      </c>
      <c r="BH190" s="16" t="s">
        <v>729</v>
      </c>
      <c r="BN190" s="47" t="s">
        <v>470</v>
      </c>
      <c r="BT190" s="16" t="s">
        <v>121</v>
      </c>
    </row>
    <row r="191" spans="1:72" ht="13.2">
      <c r="A191" s="35"/>
      <c r="C191" s="59"/>
      <c r="D191" s="35" t="s">
        <v>92</v>
      </c>
      <c r="E191" s="35"/>
      <c r="F191" s="35"/>
      <c r="G191" s="35"/>
      <c r="H191" s="35"/>
      <c r="I191" s="35"/>
      <c r="J191" s="35"/>
      <c r="K191" s="35"/>
      <c r="L191" s="35"/>
      <c r="M191" s="35"/>
      <c r="N191" s="1942" t="s">
        <v>2340</v>
      </c>
      <c r="O191" s="1943"/>
      <c r="P191" s="1943"/>
      <c r="Q191" s="1943"/>
      <c r="R191" s="1943"/>
      <c r="S191" s="1943"/>
      <c r="T191" s="1943"/>
      <c r="U191" s="1943"/>
      <c r="V191" s="1943"/>
      <c r="W191" s="1943"/>
      <c r="X191" s="1943"/>
      <c r="Y191" s="1943"/>
      <c r="Z191" s="1943"/>
      <c r="AA191" s="1943"/>
      <c r="AB191" s="1943"/>
      <c r="AC191" s="1943"/>
      <c r="AD191" s="1943"/>
      <c r="AE191" s="1943"/>
      <c r="AF191" s="35"/>
      <c r="AH191" s="35"/>
      <c r="AJ191" s="3"/>
      <c r="AK191" s="3"/>
      <c r="AL191" s="3"/>
      <c r="BC191" s="16" t="s">
        <v>1585</v>
      </c>
      <c r="BH191" s="16" t="s">
        <v>1585</v>
      </c>
      <c r="BN191" s="47" t="s">
        <v>642</v>
      </c>
      <c r="BT191" s="16" t="s">
        <v>122</v>
      </c>
    </row>
    <row r="192" spans="1:72" ht="13.2">
      <c r="A192" s="35"/>
      <c r="C192" s="59"/>
      <c r="D192" s="35"/>
      <c r="E192" s="35"/>
      <c r="F192" s="35"/>
      <c r="G192" s="35"/>
      <c r="H192" s="35"/>
      <c r="I192" s="35"/>
      <c r="J192" s="35"/>
      <c r="K192" s="35"/>
      <c r="L192" s="35"/>
      <c r="M192" s="316"/>
      <c r="N192" s="1944"/>
      <c r="O192" s="1944"/>
      <c r="P192" s="1944"/>
      <c r="Q192" s="1944"/>
      <c r="R192" s="1944"/>
      <c r="S192" s="1944"/>
      <c r="T192" s="1944"/>
      <c r="U192" s="1944"/>
      <c r="V192" s="1944"/>
      <c r="W192" s="1944"/>
      <c r="X192" s="1944"/>
      <c r="Y192" s="1944"/>
      <c r="Z192" s="1944"/>
      <c r="AA192" s="1944"/>
      <c r="AB192" s="1944"/>
      <c r="AC192" s="1944"/>
      <c r="AD192" s="1944"/>
      <c r="AE192" s="1944"/>
      <c r="AF192" s="35"/>
      <c r="AH192" s="35"/>
      <c r="AJ192" s="3"/>
      <c r="AK192" s="3"/>
      <c r="AL192" s="3"/>
      <c r="BC192" s="16" t="s">
        <v>730</v>
      </c>
      <c r="BH192" s="8" t="s">
        <v>1592</v>
      </c>
      <c r="BN192" s="47" t="s">
        <v>643</v>
      </c>
      <c r="BT192" s="16" t="s">
        <v>123</v>
      </c>
    </row>
    <row r="193" spans="1:73" ht="13.2">
      <c r="A193" s="35"/>
      <c r="C193" s="59"/>
      <c r="D193" s="3" t="s">
        <v>485</v>
      </c>
      <c r="E193" s="3"/>
      <c r="F193" s="3"/>
      <c r="G193" s="3"/>
      <c r="H193" s="3"/>
      <c r="I193" s="3"/>
      <c r="J193" s="3"/>
      <c r="K193" s="3"/>
      <c r="L193" s="3"/>
      <c r="M193" s="3"/>
      <c r="N193" s="35"/>
      <c r="O193" s="35"/>
      <c r="P193" s="35"/>
      <c r="Q193" s="35"/>
      <c r="R193" s="35"/>
      <c r="T193" s="1786" t="s">
        <v>531</v>
      </c>
      <c r="U193" s="1786"/>
      <c r="W193" s="72" t="s">
        <v>2159</v>
      </c>
      <c r="AA193" s="2199"/>
      <c r="AB193" s="2199"/>
      <c r="AC193" s="2199"/>
      <c r="AJ193" s="3"/>
      <c r="AK193" s="3"/>
      <c r="AL193" s="3"/>
      <c r="BC193" s="16" t="s">
        <v>624</v>
      </c>
      <c r="BH193" s="8" t="s">
        <v>1593</v>
      </c>
      <c r="BN193" s="47" t="s">
        <v>644</v>
      </c>
      <c r="BT193" s="16" t="s">
        <v>124</v>
      </c>
    </row>
    <row r="194" spans="1:73" ht="13.2">
      <c r="A194" s="35"/>
      <c r="C194" s="59"/>
      <c r="D194" s="3" t="s">
        <v>130</v>
      </c>
      <c r="E194" s="3"/>
      <c r="F194" s="3"/>
      <c r="G194" s="3"/>
      <c r="H194" s="3"/>
      <c r="I194" s="3"/>
      <c r="J194" s="3"/>
      <c r="K194" s="3"/>
      <c r="L194" s="3"/>
      <c r="M194" s="3"/>
      <c r="N194" s="35"/>
      <c r="O194" s="35"/>
      <c r="P194" s="35"/>
      <c r="Q194" s="35"/>
      <c r="R194" s="35"/>
      <c r="T194" s="1757" t="s">
        <v>531</v>
      </c>
      <c r="U194" s="1757"/>
      <c r="W194" s="35" t="s">
        <v>68</v>
      </c>
      <c r="X194" s="35"/>
      <c r="Y194" s="35"/>
      <c r="Z194" s="35"/>
      <c r="AA194" s="35"/>
      <c r="AB194" s="35"/>
      <c r="AC194" s="35"/>
      <c r="AD194" s="35"/>
      <c r="AE194" s="35"/>
      <c r="AF194" s="35"/>
      <c r="AG194" s="35"/>
      <c r="AH194" s="35"/>
      <c r="AI194" s="1786" t="s">
        <v>531</v>
      </c>
      <c r="AJ194" s="1786"/>
      <c r="AK194" s="3"/>
      <c r="AL194" s="3"/>
      <c r="AX194" s="8" t="s">
        <v>136</v>
      </c>
      <c r="BC194" s="16" t="s">
        <v>681</v>
      </c>
      <c r="BN194" s="47" t="s">
        <v>825</v>
      </c>
      <c r="BT194" s="16" t="s">
        <v>125</v>
      </c>
    </row>
    <row r="195" spans="1:73" ht="13.2">
      <c r="A195" s="35"/>
      <c r="C195" s="59"/>
      <c r="D195" s="1105" t="s">
        <v>1961</v>
      </c>
      <c r="E195" s="3"/>
      <c r="F195" s="3"/>
      <c r="G195" s="3"/>
      <c r="H195" s="3"/>
      <c r="I195" s="3"/>
      <c r="J195" s="3"/>
      <c r="K195" s="3"/>
      <c r="L195" s="3"/>
      <c r="M195" s="3"/>
      <c r="N195" s="35"/>
      <c r="O195" s="35"/>
      <c r="P195" s="35"/>
      <c r="Q195" s="35"/>
      <c r="R195" s="35"/>
      <c r="T195" s="1757" t="s">
        <v>531</v>
      </c>
      <c r="U195" s="1757"/>
      <c r="X195" s="1361" t="s">
        <v>2182</v>
      </c>
      <c r="AJ195" s="3"/>
      <c r="AK195" s="3"/>
      <c r="AL195" s="3"/>
      <c r="AX195" s="8" t="s">
        <v>1275</v>
      </c>
      <c r="BN195" s="47" t="s">
        <v>826</v>
      </c>
      <c r="BT195" s="16" t="s">
        <v>126</v>
      </c>
    </row>
    <row r="196" spans="1:73" ht="13.2">
      <c r="A196" s="35"/>
      <c r="C196" s="59"/>
      <c r="D196" s="74" t="s">
        <v>1282</v>
      </c>
      <c r="E196" s="35"/>
      <c r="F196" s="35"/>
      <c r="G196" s="35"/>
      <c r="H196" s="35"/>
      <c r="I196" s="35"/>
      <c r="J196" s="35"/>
      <c r="K196" s="35"/>
      <c r="L196" s="35"/>
      <c r="M196" s="35"/>
      <c r="N196" s="35"/>
      <c r="O196" s="35"/>
      <c r="P196" s="35"/>
      <c r="Q196" s="35"/>
      <c r="R196" s="35"/>
      <c r="T196" s="1757" t="s">
        <v>119</v>
      </c>
      <c r="U196" s="1757"/>
      <c r="AJ196" s="3"/>
      <c r="AK196" s="3"/>
      <c r="AL196" s="3"/>
      <c r="AX196" s="8" t="s">
        <v>1276</v>
      </c>
      <c r="BN196" s="47" t="s">
        <v>827</v>
      </c>
      <c r="BT196" s="16" t="s">
        <v>127</v>
      </c>
    </row>
    <row r="197" spans="1:73" ht="13.2">
      <c r="A197" s="35"/>
      <c r="C197" s="59"/>
      <c r="D197" s="72" t="s">
        <v>2160</v>
      </c>
      <c r="T197" s="1786" t="s">
        <v>531</v>
      </c>
      <c r="U197" s="1786"/>
      <c r="AJ197" s="3"/>
      <c r="AK197" s="3"/>
      <c r="AL197" s="3"/>
      <c r="AX197" s="8" t="s">
        <v>1277</v>
      </c>
      <c r="BC197" s="16" t="s">
        <v>86</v>
      </c>
      <c r="BN197" s="47" t="s">
        <v>828</v>
      </c>
      <c r="BT197" s="16" t="s">
        <v>128</v>
      </c>
    </row>
    <row r="198" spans="1:73" ht="13.2">
      <c r="A198" s="35"/>
      <c r="C198" s="59"/>
      <c r="D198" s="1105" t="s">
        <v>2192</v>
      </c>
      <c r="W198" s="1958" t="s">
        <v>531</v>
      </c>
      <c r="X198" s="1786"/>
      <c r="AG198" s="35"/>
      <c r="AH198" s="3"/>
      <c r="AI198" s="3"/>
      <c r="AJ198" s="3"/>
      <c r="AK198" s="3"/>
      <c r="AL198" s="3"/>
      <c r="AX198" s="8" t="s">
        <v>1278</v>
      </c>
      <c r="BC198" s="645" t="s">
        <v>1222</v>
      </c>
      <c r="BN198" s="47" t="s">
        <v>829</v>
      </c>
      <c r="BT198" s="16" t="s">
        <v>885</v>
      </c>
    </row>
    <row r="199" spans="1:73" ht="13.2">
      <c r="A199" s="35"/>
      <c r="C199" s="59"/>
      <c r="R199" s="35"/>
      <c r="W199" s="35"/>
      <c r="AC199" s="35"/>
      <c r="AD199" s="35"/>
      <c r="AE199" s="35"/>
      <c r="AF199" s="35"/>
      <c r="AG199" s="35"/>
      <c r="AH199" s="390"/>
      <c r="AI199" s="390"/>
      <c r="AJ199" s="3"/>
      <c r="AK199" s="3"/>
      <c r="AL199" s="3"/>
      <c r="AX199" s="8" t="s">
        <v>1279</v>
      </c>
      <c r="BC199" s="288" t="s">
        <v>1223</v>
      </c>
      <c r="BN199" s="47" t="s">
        <v>830</v>
      </c>
      <c r="BO199" s="67"/>
      <c r="BP199" s="68"/>
      <c r="BQ199" s="68"/>
      <c r="BR199" s="68"/>
      <c r="BS199" s="68"/>
      <c r="BT199" s="68" t="s">
        <v>886</v>
      </c>
    </row>
    <row r="200" spans="1:73" ht="13.2">
      <c r="A200" s="35"/>
      <c r="C200" s="59"/>
      <c r="D200" s="35"/>
      <c r="AB200" s="35"/>
      <c r="AC200" s="35"/>
      <c r="AD200" s="35"/>
      <c r="AE200" s="35"/>
      <c r="AF200" s="35"/>
      <c r="AG200" s="35"/>
      <c r="AH200" s="390"/>
      <c r="AI200" s="390"/>
      <c r="AJ200" s="3"/>
      <c r="AK200" s="3"/>
      <c r="AL200" s="3"/>
      <c r="AX200" s="8" t="s">
        <v>1280</v>
      </c>
      <c r="BC200" s="288" t="s">
        <v>1605</v>
      </c>
      <c r="BN200" s="47" t="s">
        <v>724</v>
      </c>
      <c r="BO200" s="65"/>
      <c r="BP200" s="68"/>
      <c r="BQ200" s="68"/>
      <c r="BR200" s="68"/>
      <c r="BS200" s="68"/>
      <c r="BT200" s="68" t="s">
        <v>887</v>
      </c>
    </row>
    <row r="201" spans="1:73" ht="12.75" customHeight="1">
      <c r="A201" s="35"/>
      <c r="C201" s="59"/>
      <c r="Q201" s="35"/>
      <c r="R201" s="35"/>
      <c r="T201" s="35"/>
      <c r="U201" s="35"/>
      <c r="V201" s="35"/>
      <c r="W201" s="35"/>
      <c r="Y201" s="35"/>
      <c r="AA201" s="3"/>
      <c r="AB201" s="35"/>
      <c r="AC201" s="35"/>
      <c r="AD201" s="35"/>
      <c r="AE201" s="35"/>
      <c r="AF201" s="35"/>
      <c r="AG201" s="35"/>
      <c r="AI201" s="35"/>
      <c r="AJ201" s="3"/>
      <c r="AK201" s="3"/>
      <c r="AL201" s="3"/>
      <c r="AX201" s="8" t="s">
        <v>1281</v>
      </c>
      <c r="BC201" s="272" t="s">
        <v>945</v>
      </c>
      <c r="BN201" s="47" t="s">
        <v>725</v>
      </c>
      <c r="BO201" s="65"/>
      <c r="BP201" s="68"/>
      <c r="BQ201" s="68"/>
      <c r="BR201" s="68"/>
      <c r="BS201" s="69"/>
      <c r="BT201" s="69" t="s">
        <v>888</v>
      </c>
    </row>
    <row r="202" spans="1:73" ht="13.2">
      <c r="A202" s="48" t="s">
        <v>131</v>
      </c>
      <c r="C202" s="48" t="s">
        <v>1274</v>
      </c>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H202" s="3"/>
      <c r="AJ202" s="3"/>
      <c r="AK202" s="3"/>
      <c r="AL202" s="3"/>
      <c r="AX202" s="8" t="s">
        <v>624</v>
      </c>
      <c r="BC202" s="272" t="s">
        <v>1606</v>
      </c>
      <c r="BN202" s="47" t="s">
        <v>726</v>
      </c>
      <c r="BT202" s="69" t="s">
        <v>889</v>
      </c>
      <c r="BU202" s="65"/>
    </row>
    <row r="203" spans="1:73" ht="13.2">
      <c r="A203" s="35"/>
      <c r="C203" s="35"/>
      <c r="D203" s="1791" t="str">
        <f>IF(AND(M25&gt;0,M27&gt;0),"Federal and State","Federal Only")</f>
        <v>Federal Only</v>
      </c>
      <c r="E203" s="1791"/>
      <c r="F203" s="1791"/>
      <c r="G203" s="1791"/>
      <c r="H203" s="1791"/>
      <c r="I203" s="1791"/>
      <c r="J203" s="1791"/>
      <c r="K203" s="1791"/>
      <c r="L203" s="1791"/>
      <c r="M203" s="1791"/>
      <c r="P203" s="2074">
        <f>M25</f>
        <v>1938867</v>
      </c>
      <c r="Q203" s="2074"/>
      <c r="R203" s="2074"/>
      <c r="S203" s="2074"/>
      <c r="T203" s="2074"/>
      <c r="U203" s="2074"/>
      <c r="V203" s="35"/>
      <c r="W203" s="2074">
        <f>M27</f>
        <v>0</v>
      </c>
      <c r="X203" s="2074"/>
      <c r="Y203" s="2074"/>
      <c r="Z203" s="2074"/>
      <c r="AA203" s="2074"/>
      <c r="AB203" s="2074"/>
      <c r="AD203" s="35"/>
      <c r="AE203" s="35"/>
      <c r="AF203" s="35"/>
      <c r="AG203" s="35"/>
      <c r="AH203" s="35"/>
      <c r="AI203" s="35"/>
      <c r="AJ203" s="3"/>
      <c r="AK203" s="3"/>
      <c r="AL203" s="3"/>
      <c r="AV203" s="16" t="s">
        <v>136</v>
      </c>
      <c r="AX203" s="8" t="s">
        <v>730</v>
      </c>
      <c r="BC203" s="3" t="s">
        <v>1603</v>
      </c>
      <c r="BN203" s="47" t="s">
        <v>727</v>
      </c>
      <c r="BT203" s="69" t="s">
        <v>890</v>
      </c>
      <c r="BU203" s="65"/>
    </row>
    <row r="204" spans="1:73" ht="13.2">
      <c r="A204" s="35"/>
      <c r="C204" s="58"/>
      <c r="E204" s="35"/>
      <c r="F204" s="35"/>
      <c r="G204" s="35"/>
      <c r="P204" s="2085" t="s">
        <v>192</v>
      </c>
      <c r="Q204" s="2085"/>
      <c r="R204" s="2085"/>
      <c r="S204" s="2085"/>
      <c r="T204" s="2085"/>
      <c r="U204" s="2085"/>
      <c r="V204" s="60"/>
      <c r="W204" s="2085" t="s">
        <v>193</v>
      </c>
      <c r="X204" s="2085"/>
      <c r="Y204" s="2085"/>
      <c r="Z204" s="2085"/>
      <c r="AA204" s="2085"/>
      <c r="AB204" s="2085"/>
      <c r="AD204" s="35"/>
      <c r="AE204" s="35"/>
      <c r="AF204" s="35"/>
      <c r="AG204" s="35"/>
      <c r="AH204" s="35"/>
      <c r="AI204" s="35"/>
      <c r="AJ204" s="3"/>
      <c r="AK204" s="3"/>
      <c r="AL204" s="3"/>
      <c r="AV204" s="16" t="s">
        <v>119</v>
      </c>
      <c r="AX204" s="8" t="s">
        <v>1531</v>
      </c>
      <c r="BC204" s="272" t="s">
        <v>944</v>
      </c>
      <c r="BN204" s="47" t="s">
        <v>728</v>
      </c>
      <c r="BT204" s="69" t="s">
        <v>891</v>
      </c>
      <c r="BU204" s="70"/>
    </row>
    <row r="205" spans="1:73" ht="13.8" thickBot="1">
      <c r="A205" s="35"/>
      <c r="C205" s="35"/>
      <c r="D205" s="735" t="s">
        <v>194</v>
      </c>
      <c r="E205" s="61"/>
      <c r="F205" s="61"/>
      <c r="G205" s="61"/>
      <c r="H205" s="61"/>
      <c r="I205" s="61"/>
      <c r="J205" s="61"/>
      <c r="K205" s="61"/>
      <c r="L205" s="61"/>
      <c r="M205" s="61"/>
      <c r="N205" s="61"/>
      <c r="O205" s="61"/>
      <c r="P205" s="61"/>
      <c r="Q205" s="35"/>
      <c r="R205" s="35"/>
      <c r="S205" s="35"/>
      <c r="T205" s="35"/>
      <c r="U205" s="35"/>
      <c r="V205" s="35"/>
      <c r="W205" s="35"/>
      <c r="X205" s="35"/>
      <c r="Y205" s="35"/>
      <c r="Z205" s="35"/>
      <c r="AA205" s="35"/>
      <c r="AB205" s="35"/>
      <c r="AD205" s="35"/>
      <c r="AE205" s="35"/>
      <c r="AF205" s="35"/>
      <c r="AH205" s="35"/>
      <c r="AJ205" s="3"/>
      <c r="AK205" s="3"/>
      <c r="AL205" s="3"/>
      <c r="AV205" s="16" t="s">
        <v>531</v>
      </c>
      <c r="BC205" s="272" t="s">
        <v>152</v>
      </c>
      <c r="BN205" s="47" t="s">
        <v>1001</v>
      </c>
      <c r="BT205" s="69" t="s">
        <v>927</v>
      </c>
    </row>
    <row r="206" spans="1:73" ht="12" customHeight="1">
      <c r="A206" s="35"/>
      <c r="C206" s="35"/>
      <c r="E206" s="35"/>
      <c r="F206" s="35"/>
      <c r="G206" s="35"/>
      <c r="H206" s="35"/>
      <c r="I206" s="35"/>
      <c r="J206" s="35"/>
      <c r="K206" s="35"/>
      <c r="L206" s="35"/>
      <c r="M206" s="35"/>
      <c r="N206" s="35"/>
      <c r="O206" s="35"/>
      <c r="P206" s="35"/>
      <c r="Q206" s="35"/>
      <c r="R206" s="35"/>
      <c r="S206" s="35"/>
      <c r="T206" s="35"/>
      <c r="U206" s="35"/>
      <c r="V206" s="35"/>
      <c r="W206" s="35"/>
      <c r="X206" s="1370"/>
      <c r="Y206" s="1371"/>
      <c r="Z206" s="1371"/>
      <c r="AA206" s="1371"/>
      <c r="AB206" s="1371"/>
      <c r="AC206" s="1371"/>
      <c r="AD206" s="1371"/>
      <c r="AE206" s="1371"/>
      <c r="AF206" s="1371"/>
      <c r="AG206" s="1371"/>
      <c r="AH206" s="1371"/>
      <c r="AI206" s="1371"/>
      <c r="AJ206" s="1371"/>
      <c r="AK206" s="1372"/>
      <c r="AL206" s="3"/>
      <c r="BC206" s="273" t="s">
        <v>1607</v>
      </c>
      <c r="BN206" s="47" t="s">
        <v>1002</v>
      </c>
      <c r="BT206" s="69" t="s">
        <v>892</v>
      </c>
    </row>
    <row r="207" spans="1:73" ht="13.2">
      <c r="A207" s="62" t="s">
        <v>134</v>
      </c>
      <c r="C207" s="62" t="s">
        <v>884</v>
      </c>
      <c r="D207" s="35"/>
      <c r="E207" s="35"/>
      <c r="F207" s="35"/>
      <c r="G207" s="35"/>
      <c r="H207" s="35"/>
      <c r="I207" s="35"/>
      <c r="J207" s="35"/>
      <c r="K207" s="35"/>
      <c r="L207" s="35"/>
      <c r="M207" s="35"/>
      <c r="N207" s="35"/>
      <c r="O207" s="35"/>
      <c r="P207" s="35"/>
      <c r="Q207" s="35"/>
      <c r="R207" s="35"/>
      <c r="S207" s="35"/>
      <c r="T207" s="35"/>
      <c r="U207" s="35"/>
      <c r="V207" s="35"/>
      <c r="W207" s="35"/>
      <c r="X207" s="1373"/>
      <c r="Y207" s="1374"/>
      <c r="Z207" s="1374"/>
      <c r="AA207" s="1374"/>
      <c r="AB207" s="1374"/>
      <c r="AC207" s="1374"/>
      <c r="AD207" s="1374"/>
      <c r="AE207" s="1374"/>
      <c r="AF207" s="1374"/>
      <c r="AG207" s="1374"/>
      <c r="AH207" s="1374"/>
      <c r="AI207" s="1374"/>
      <c r="AJ207" s="1374"/>
      <c r="AK207" s="1375"/>
      <c r="AL207" s="3"/>
      <c r="BC207" s="272" t="s">
        <v>1990</v>
      </c>
      <c r="BN207" s="47" t="s">
        <v>1</v>
      </c>
      <c r="BT207" s="69" t="s">
        <v>893</v>
      </c>
    </row>
    <row r="208" spans="1:73" ht="13.2">
      <c r="A208" s="35"/>
      <c r="C208" s="58"/>
      <c r="D208" s="2070" t="s">
        <v>2341</v>
      </c>
      <c r="E208" s="2070"/>
      <c r="F208" s="2070"/>
      <c r="G208" s="2070"/>
      <c r="H208" s="2070"/>
      <c r="I208" s="2070"/>
      <c r="J208" s="2070"/>
      <c r="K208" s="2070"/>
      <c r="L208" s="2070"/>
      <c r="M208" s="2070"/>
      <c r="N208" s="35"/>
      <c r="O208" s="35"/>
      <c r="P208" s="35"/>
      <c r="Q208" s="35"/>
      <c r="R208" s="35"/>
      <c r="S208" s="35"/>
      <c r="T208" s="35"/>
      <c r="U208" s="35"/>
      <c r="V208" s="35"/>
      <c r="W208" s="35"/>
      <c r="X208" s="1373"/>
      <c r="Y208" s="1374"/>
      <c r="Z208" s="1374"/>
      <c r="AA208" s="1374"/>
      <c r="AB208" s="1374"/>
      <c r="AC208" s="1374"/>
      <c r="AD208" s="1374"/>
      <c r="AE208" s="1374"/>
      <c r="AF208" s="1374"/>
      <c r="AG208" s="1374"/>
      <c r="AH208" s="1374"/>
      <c r="AI208" s="1374"/>
      <c r="AJ208" s="1374"/>
      <c r="AK208" s="1375"/>
      <c r="AL208" s="3"/>
      <c r="BC208" s="3" t="s">
        <v>1604</v>
      </c>
      <c r="BN208" s="47" t="s">
        <v>2</v>
      </c>
      <c r="BT208" s="69" t="s">
        <v>894</v>
      </c>
    </row>
    <row r="209" spans="1:72" ht="13.2">
      <c r="A209" s="35"/>
      <c r="C209" s="55"/>
      <c r="D209" s="35"/>
      <c r="E209" s="35"/>
      <c r="F209" s="35"/>
      <c r="G209" s="35"/>
      <c r="H209" s="35"/>
      <c r="I209" s="35"/>
      <c r="J209" s="35"/>
      <c r="K209" s="35"/>
      <c r="L209" s="35"/>
      <c r="M209" s="35"/>
      <c r="N209" s="35"/>
      <c r="O209" s="35"/>
      <c r="P209" s="35"/>
      <c r="Q209" s="35"/>
      <c r="R209" s="35"/>
      <c r="S209" s="35"/>
      <c r="T209" s="35"/>
      <c r="U209" s="35"/>
      <c r="V209" s="35"/>
      <c r="W209" s="35"/>
      <c r="X209" s="1373"/>
      <c r="Y209" s="1374"/>
      <c r="Z209" s="1374"/>
      <c r="AA209" s="1374"/>
      <c r="AB209" s="1374"/>
      <c r="AC209" s="1374"/>
      <c r="AD209" s="1374"/>
      <c r="AE209" s="1374"/>
      <c r="AF209" s="1374"/>
      <c r="AG209" s="1374"/>
      <c r="AH209" s="1374"/>
      <c r="AI209" s="1374"/>
      <c r="AJ209" s="1374"/>
      <c r="AK209" s="1375"/>
      <c r="AL209" s="3"/>
      <c r="BC209" s="272" t="s">
        <v>81</v>
      </c>
      <c r="BN209" s="47" t="s">
        <v>3</v>
      </c>
      <c r="BT209" s="69" t="s">
        <v>895</v>
      </c>
    </row>
    <row r="210" spans="1:72" ht="13.2">
      <c r="A210" s="63" t="s">
        <v>135</v>
      </c>
      <c r="C210" s="63" t="s">
        <v>1273</v>
      </c>
      <c r="X210" s="1373"/>
      <c r="Y210" s="1376"/>
      <c r="Z210" s="1374"/>
      <c r="AA210" s="1374"/>
      <c r="AB210" s="1374"/>
      <c r="AC210" s="1374"/>
      <c r="AD210" s="1374"/>
      <c r="AE210" s="1374"/>
      <c r="AF210" s="1374"/>
      <c r="AG210" s="1374"/>
      <c r="AH210" s="1374"/>
      <c r="AI210" s="1374"/>
      <c r="AJ210" s="1374"/>
      <c r="AK210" s="1375"/>
      <c r="AL210" s="3"/>
      <c r="BN210" s="47" t="s">
        <v>4</v>
      </c>
      <c r="BT210" s="69" t="s">
        <v>896</v>
      </c>
    </row>
    <row r="211" spans="1:72" ht="13.2">
      <c r="C211" s="58"/>
      <c r="D211" s="2070" t="s">
        <v>730</v>
      </c>
      <c r="E211" s="2070"/>
      <c r="F211" s="2070"/>
      <c r="G211" s="2070"/>
      <c r="H211" s="2070"/>
      <c r="I211" s="2070"/>
      <c r="J211" s="2070"/>
      <c r="K211" s="2070"/>
      <c r="L211" s="2070"/>
      <c r="M211" s="2070"/>
      <c r="N211" s="2070"/>
      <c r="O211" s="2070"/>
      <c r="P211" s="2070"/>
      <c r="X211" s="1373"/>
      <c r="Y211" s="1786"/>
      <c r="Z211" s="1786"/>
      <c r="AA211" s="1374"/>
      <c r="AB211" s="1374"/>
      <c r="AC211" s="1374"/>
      <c r="AD211" s="1374"/>
      <c r="AE211" s="1374"/>
      <c r="AF211" s="1374"/>
      <c r="AG211" s="1374"/>
      <c r="AH211" s="1374"/>
      <c r="AI211" s="1374"/>
      <c r="AJ211" s="1374"/>
      <c r="AK211" s="1375"/>
      <c r="AL211" s="3"/>
      <c r="BN211" s="47" t="s">
        <v>21</v>
      </c>
      <c r="BT211" s="69" t="s">
        <v>22</v>
      </c>
    </row>
    <row r="212" spans="1:72" ht="13.8" thickBot="1">
      <c r="X212" s="1379"/>
      <c r="Y212" s="1377"/>
      <c r="Z212" s="1377"/>
      <c r="AA212" s="1377"/>
      <c r="AB212" s="1377"/>
      <c r="AC212" s="1377"/>
      <c r="AD212" s="1377"/>
      <c r="AE212" s="1377"/>
      <c r="AF212" s="1377"/>
      <c r="AG212" s="1377"/>
      <c r="AH212" s="1377"/>
      <c r="AI212" s="1377"/>
      <c r="AJ212" s="1377"/>
      <c r="AK212" s="1378"/>
      <c r="AL212" s="3"/>
      <c r="BC212" s="750" t="s">
        <v>86</v>
      </c>
      <c r="BN212" s="47" t="s">
        <v>5</v>
      </c>
      <c r="BT212" s="69" t="s">
        <v>897</v>
      </c>
    </row>
    <row r="213" spans="1:72" ht="13.2">
      <c r="A213" s="63" t="s">
        <v>137</v>
      </c>
      <c r="C213" s="63" t="s">
        <v>1586</v>
      </c>
      <c r="AG213" s="3"/>
      <c r="AJ213" s="3"/>
      <c r="AK213" s="3"/>
      <c r="AL213" s="3"/>
      <c r="BC213" s="16" t="s">
        <v>692</v>
      </c>
      <c r="BN213" s="47" t="s">
        <v>6</v>
      </c>
      <c r="BT213" s="69" t="s">
        <v>898</v>
      </c>
    </row>
    <row r="214" spans="1:72" ht="13.2">
      <c r="C214" s="58"/>
      <c r="D214" s="2070" t="s">
        <v>730</v>
      </c>
      <c r="E214" s="2070"/>
      <c r="F214" s="2070"/>
      <c r="G214" s="2070"/>
      <c r="H214" s="2070"/>
      <c r="I214" s="2070"/>
      <c r="J214" s="2070"/>
      <c r="K214" s="2070"/>
      <c r="L214" s="2070"/>
      <c r="M214" s="2070"/>
      <c r="N214" s="2070"/>
      <c r="O214" s="2070"/>
      <c r="P214" s="2070"/>
      <c r="Q214" s="2070"/>
      <c r="R214" s="2070"/>
      <c r="S214" s="2070"/>
      <c r="T214" s="2070"/>
      <c r="U214" s="2070"/>
      <c r="V214" s="2070"/>
      <c r="W214" s="2070"/>
      <c r="X214" s="2070"/>
      <c r="Y214" s="2070"/>
      <c r="Z214" s="2070"/>
      <c r="AG214" s="3"/>
      <c r="AJ214" s="3"/>
      <c r="AK214" s="3"/>
      <c r="AL214" s="3"/>
      <c r="BC214" s="16" t="s">
        <v>696</v>
      </c>
      <c r="BN214" s="47" t="s">
        <v>492</v>
      </c>
      <c r="BT214" s="69" t="s">
        <v>899</v>
      </c>
    </row>
    <row r="215" spans="1:72" ht="13.2">
      <c r="D215" s="64"/>
      <c r="E215" s="8" t="s">
        <v>1602</v>
      </c>
      <c r="AE215" s="2068">
        <v>0.5</v>
      </c>
      <c r="AF215" s="2068"/>
      <c r="AG215" s="3"/>
      <c r="AJ215" s="3"/>
      <c r="AK215" s="3"/>
      <c r="AL215" s="3"/>
      <c r="BC215" s="16" t="s">
        <v>693</v>
      </c>
    </row>
    <row r="216" spans="1:72" ht="12.75" customHeight="1">
      <c r="D216" s="64"/>
      <c r="E216" s="8" t="s">
        <v>1599</v>
      </c>
      <c r="AG216" s="3"/>
      <c r="AJ216" s="3"/>
      <c r="AK216" s="3"/>
      <c r="AL216" s="3"/>
      <c r="BC216" s="16" t="s">
        <v>812</v>
      </c>
    </row>
    <row r="217" spans="1:72" ht="13.2">
      <c r="E217" s="2161" t="s">
        <v>729</v>
      </c>
      <c r="F217" s="1944"/>
      <c r="G217" s="1944"/>
      <c r="H217" s="1944"/>
      <c r="I217" s="1944"/>
      <c r="J217" s="1944"/>
      <c r="K217" s="1944"/>
      <c r="L217" s="1944"/>
      <c r="M217" s="1944"/>
      <c r="N217" s="1944"/>
      <c r="O217" s="1944"/>
      <c r="P217" s="1944"/>
      <c r="Q217" s="1944"/>
      <c r="R217" s="1944"/>
      <c r="S217" s="1944"/>
      <c r="T217" s="1944"/>
      <c r="U217" s="1944"/>
      <c r="V217" s="1944"/>
      <c r="W217" s="1944"/>
      <c r="X217" s="1944"/>
      <c r="Y217" s="1944"/>
      <c r="Z217" s="1944"/>
      <c r="AA217" s="83"/>
      <c r="AB217" s="83"/>
      <c r="AC217" s="83"/>
      <c r="AD217" s="83"/>
      <c r="AE217" s="83"/>
      <c r="AF217" s="83"/>
      <c r="AG217" s="3"/>
      <c r="AJ217" s="3"/>
      <c r="AK217" s="3"/>
      <c r="AL217" s="3"/>
      <c r="BC217" s="16" t="s">
        <v>694</v>
      </c>
    </row>
    <row r="218" spans="1:72" ht="13.2">
      <c r="E218" s="72" t="s">
        <v>2256</v>
      </c>
      <c r="AA218" s="83"/>
      <c r="AC218" s="1960"/>
      <c r="AD218" s="1960"/>
      <c r="AE218" s="1960"/>
      <c r="AF218" s="1960"/>
      <c r="AG218" s="1960"/>
      <c r="AH218" s="1960"/>
      <c r="AI218" s="1960"/>
      <c r="AJ218" s="1960"/>
      <c r="AK218" s="1960"/>
      <c r="AL218" s="1960"/>
      <c r="AM218" s="1960"/>
      <c r="BC218" s="16" t="s">
        <v>695</v>
      </c>
      <c r="BI218" s="67"/>
    </row>
    <row r="219" spans="1:72" ht="12.75" customHeight="1">
      <c r="E219" s="72" t="s">
        <v>2257</v>
      </c>
      <c r="AA219" s="83"/>
      <c r="AC219" s="1960"/>
      <c r="AD219" s="1960"/>
      <c r="AE219" s="1960"/>
      <c r="AF219" s="1960"/>
      <c r="AG219" s="1960"/>
      <c r="AH219" s="1960"/>
      <c r="AI219" s="1960"/>
      <c r="AJ219" s="1960"/>
      <c r="AK219" s="1960"/>
      <c r="AL219" s="1960"/>
      <c r="AM219" s="1960"/>
      <c r="BC219" s="16" t="s">
        <v>543</v>
      </c>
      <c r="BI219" s="65"/>
    </row>
    <row r="220" spans="1:72" s="65" customFormat="1" ht="12.75" customHeight="1">
      <c r="A220" s="16"/>
      <c r="B220" s="16"/>
      <c r="C220" s="16"/>
      <c r="D220" s="16"/>
      <c r="E220" s="35"/>
      <c r="F220" s="35"/>
      <c r="G220" s="35"/>
      <c r="H220" s="35"/>
      <c r="I220" s="35"/>
      <c r="J220" s="35"/>
      <c r="K220" s="35"/>
      <c r="L220" s="35"/>
      <c r="M220" s="35"/>
      <c r="N220" s="35"/>
      <c r="O220" s="35"/>
      <c r="P220" s="35"/>
      <c r="Q220" s="35"/>
      <c r="R220" s="35"/>
      <c r="S220" s="35"/>
      <c r="T220" s="35"/>
      <c r="U220" s="35"/>
      <c r="V220" s="35"/>
      <c r="W220" s="35"/>
      <c r="X220" s="35"/>
      <c r="Y220" s="35"/>
      <c r="Z220" s="35"/>
      <c r="AA220" s="35"/>
      <c r="AB220" s="35"/>
      <c r="AC220" s="35"/>
      <c r="AD220" s="35"/>
      <c r="AE220" s="35"/>
      <c r="AF220" s="35"/>
      <c r="AG220" s="35"/>
      <c r="AH220" s="16"/>
      <c r="AI220" s="16"/>
      <c r="AJ220" s="8"/>
      <c r="AK220" s="16"/>
      <c r="AL220" s="16"/>
      <c r="AM220" s="66"/>
      <c r="AN220" s="66"/>
      <c r="AO220" s="30"/>
      <c r="AQ220" s="30"/>
      <c r="AR220" s="30"/>
      <c r="AS220" s="30"/>
      <c r="BC220" s="16" t="s">
        <v>548</v>
      </c>
      <c r="BD220" s="16"/>
      <c r="BI220" s="70"/>
    </row>
    <row r="221" spans="1:72" s="65" customFormat="1" ht="12.75" customHeight="1">
      <c r="A221" s="63" t="s">
        <v>411</v>
      </c>
      <c r="C221" s="63" t="s">
        <v>1991</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16"/>
      <c r="AB221" s="16"/>
      <c r="AC221" s="16"/>
      <c r="AD221" s="16"/>
      <c r="AE221" s="16"/>
      <c r="AF221" s="16"/>
      <c r="AG221" s="3"/>
      <c r="AH221" s="3"/>
      <c r="AI221" s="16"/>
      <c r="AL221" s="30"/>
      <c r="AM221" s="66"/>
      <c r="AN221" s="66"/>
      <c r="AO221" s="30"/>
      <c r="AQ221" s="30"/>
      <c r="AR221" s="30"/>
      <c r="AS221" s="30"/>
      <c r="BI221" s="16"/>
    </row>
    <row r="222" spans="1:72" s="65" customFormat="1" ht="13.2">
      <c r="A222" s="30"/>
      <c r="B222" s="16"/>
      <c r="C222" s="16"/>
      <c r="D222" s="16" t="s">
        <v>413</v>
      </c>
      <c r="E222" s="16"/>
      <c r="F222" s="16"/>
      <c r="G222" s="16"/>
      <c r="H222" s="16"/>
      <c r="I222" s="16"/>
      <c r="J222" s="16"/>
      <c r="K222" s="16"/>
      <c r="L222" s="16"/>
      <c r="M222" s="16"/>
      <c r="N222" s="16"/>
      <c r="O222" s="16"/>
      <c r="P222" s="16"/>
      <c r="Q222" s="16"/>
      <c r="R222" s="16"/>
      <c r="S222" s="16"/>
      <c r="T222" s="16"/>
      <c r="U222" s="16"/>
      <c r="V222" s="16"/>
      <c r="W222" s="16"/>
      <c r="X222" s="16"/>
      <c r="Y222" s="16"/>
      <c r="Z222" s="16"/>
      <c r="AA222" s="16"/>
      <c r="AB222" s="16"/>
      <c r="AC222" s="16"/>
      <c r="AD222" s="16"/>
      <c r="AE222" s="16"/>
      <c r="AF222" s="16"/>
      <c r="AG222" s="3"/>
      <c r="AH222" s="3"/>
      <c r="AI222" s="16"/>
      <c r="AL222" s="30"/>
      <c r="AM222" s="66"/>
      <c r="AN222" s="66"/>
      <c r="AO222" s="30"/>
      <c r="AQ222" s="30"/>
      <c r="AR222" s="30"/>
      <c r="AS222" s="30"/>
      <c r="BI222" s="16"/>
      <c r="BJ222" s="70"/>
      <c r="BK222" s="70"/>
      <c r="BL222" s="70"/>
      <c r="BM222" s="70"/>
      <c r="BN222" s="70"/>
    </row>
    <row r="223" spans="1:72" ht="12.75" customHeight="1">
      <c r="A223" s="30"/>
      <c r="D223" s="1787" t="s">
        <v>1605</v>
      </c>
      <c r="E223" s="1787"/>
      <c r="F223" s="1787"/>
      <c r="G223" s="1787"/>
      <c r="H223" s="1787"/>
      <c r="I223" s="1787"/>
      <c r="J223" s="1787"/>
      <c r="K223" s="1787"/>
      <c r="L223" s="1787"/>
      <c r="M223" s="1787"/>
      <c r="N223" s="1787"/>
      <c r="O223" s="1787"/>
      <c r="P223" s="1787"/>
      <c r="Q223" s="1787"/>
      <c r="R223" s="1787"/>
      <c r="S223" s="1787"/>
      <c r="T223" s="1787"/>
      <c r="U223" s="1787"/>
      <c r="V223" s="1787"/>
      <c r="W223" s="1787"/>
      <c r="X223" s="1787"/>
      <c r="Y223" s="1787"/>
      <c r="Z223" s="1787"/>
      <c r="AA223" s="1787"/>
      <c r="AB223" s="1787"/>
      <c r="AC223" s="1787"/>
      <c r="AD223" s="1787"/>
      <c r="AE223" s="1787"/>
      <c r="AF223" s="1787"/>
      <c r="AG223" s="1787"/>
      <c r="AH223" s="1787"/>
      <c r="AI223" s="1787"/>
      <c r="AJ223" s="65"/>
      <c r="AK223" s="65"/>
      <c r="AL223" s="30"/>
    </row>
    <row r="224" spans="1:72" ht="12.75" customHeight="1">
      <c r="AJ224" s="8"/>
    </row>
    <row r="225" spans="1:59" ht="12.75" customHeight="1">
      <c r="D225" s="35" t="s">
        <v>617</v>
      </c>
      <c r="E225" s="35"/>
      <c r="F225" s="35"/>
      <c r="G225" s="35"/>
      <c r="H225" s="35"/>
      <c r="I225" s="35"/>
      <c r="J225" s="35"/>
      <c r="K225" s="35"/>
      <c r="L225" s="35"/>
      <c r="M225" s="35"/>
      <c r="N225" s="35"/>
      <c r="O225" s="1786">
        <v>16</v>
      </c>
      <c r="P225" s="1786"/>
    </row>
    <row r="226" spans="1:59" ht="12.75" customHeight="1">
      <c r="D226" s="35" t="s">
        <v>618</v>
      </c>
      <c r="E226" s="35"/>
      <c r="F226" s="35"/>
      <c r="G226" s="35"/>
      <c r="H226" s="35"/>
      <c r="I226" s="35"/>
      <c r="J226" s="35"/>
      <c r="K226" s="35"/>
      <c r="L226" s="35"/>
      <c r="M226" s="35"/>
      <c r="N226" s="35"/>
      <c r="O226" s="1786">
        <v>31</v>
      </c>
      <c r="P226" s="1786"/>
      <c r="BB226" s="8" t="s">
        <v>704</v>
      </c>
      <c r="BG226" s="646">
        <f>IF(AND(AND($M$251="for profit",$M$259="for profit",$M$267="nonprofit")),2,0)</f>
        <v>0</v>
      </c>
    </row>
    <row r="227" spans="1:59" ht="12" customHeight="1">
      <c r="D227" s="35" t="s">
        <v>619</v>
      </c>
      <c r="E227" s="35"/>
      <c r="F227" s="35"/>
      <c r="G227" s="35"/>
      <c r="H227" s="35"/>
      <c r="I227" s="35"/>
      <c r="J227" s="35"/>
      <c r="K227" s="35"/>
      <c r="L227" s="35"/>
      <c r="M227" s="35"/>
      <c r="N227" s="35"/>
      <c r="O227" s="1786">
        <v>8</v>
      </c>
      <c r="P227" s="1786"/>
      <c r="BB227" s="8" t="s">
        <v>704</v>
      </c>
      <c r="BG227" s="646">
        <f>IF(AND(AND($M$251="for profit",$M$259="nonprofit",$M$267="for profit")),2,0)</f>
        <v>0</v>
      </c>
    </row>
    <row r="228" spans="1:59" ht="13.2">
      <c r="D228" s="3" t="s">
        <v>620</v>
      </c>
      <c r="BB228" s="16" t="s">
        <v>704</v>
      </c>
      <c r="BG228" s="646">
        <f>IF(AND(AND($M$251="nonprofit",$M$259="for profit",$M$267="for profit")),2,0)</f>
        <v>0</v>
      </c>
    </row>
    <row r="229" spans="1:59" ht="13.2">
      <c r="D229" s="580" t="s">
        <v>1309</v>
      </c>
      <c r="U229" s="580" t="s">
        <v>1310</v>
      </c>
      <c r="BB229" s="16" t="s">
        <v>704</v>
      </c>
      <c r="BG229" s="646">
        <f>IF(AND(AND($M$251="for profit",$M$259="nonprofit",$M$267="(select one)")),2,0)</f>
        <v>0</v>
      </c>
    </row>
    <row r="230" spans="1:59" ht="13.2">
      <c r="BB230" s="16" t="s">
        <v>704</v>
      </c>
      <c r="BG230" s="647">
        <f>IF(AND(AND($M$251="nonprofit",$M$259="for profit",$M$267="(select one)")),2,0)</f>
        <v>0</v>
      </c>
    </row>
    <row r="231" spans="1:59" ht="13.2">
      <c r="A231" s="2091" t="s">
        <v>544</v>
      </c>
      <c r="B231" s="2091"/>
      <c r="C231" s="2091"/>
      <c r="D231" s="2091"/>
      <c r="E231" s="2091"/>
      <c r="F231" s="2091"/>
      <c r="G231" s="2091"/>
      <c r="H231" s="2091"/>
      <c r="I231" s="2091"/>
      <c r="J231" s="2091"/>
      <c r="K231" s="2091"/>
      <c r="L231" s="2091"/>
      <c r="M231" s="2091"/>
      <c r="N231" s="2091"/>
      <c r="O231" s="2091"/>
      <c r="P231" s="2091"/>
      <c r="Q231" s="2091"/>
      <c r="R231" s="2091"/>
      <c r="S231" s="2091"/>
      <c r="T231" s="2091"/>
      <c r="U231" s="2091"/>
      <c r="V231" s="2091"/>
      <c r="W231" s="2091"/>
      <c r="X231" s="2091"/>
      <c r="Y231" s="2091"/>
      <c r="Z231" s="2091"/>
      <c r="AA231" s="2091"/>
      <c r="AB231" s="2091"/>
      <c r="AC231" s="2091"/>
      <c r="AD231" s="2091"/>
      <c r="AE231" s="2091"/>
      <c r="AF231" s="2091"/>
      <c r="AG231" s="2091"/>
      <c r="AH231" s="2091"/>
      <c r="AI231" s="2091"/>
      <c r="AJ231" s="2091"/>
      <c r="AK231" s="2091"/>
      <c r="AL231" s="2091"/>
    </row>
    <row r="232" spans="1:59" ht="13.8" thickBot="1">
      <c r="A232" s="2092"/>
      <c r="B232" s="2092"/>
      <c r="C232" s="2092"/>
      <c r="D232" s="2092"/>
      <c r="E232" s="2092"/>
      <c r="F232" s="2092"/>
      <c r="G232" s="2092"/>
      <c r="H232" s="2092"/>
      <c r="I232" s="2092"/>
      <c r="J232" s="2092"/>
      <c r="K232" s="2092"/>
      <c r="L232" s="2092"/>
      <c r="M232" s="2092"/>
      <c r="N232" s="2092"/>
      <c r="O232" s="2092"/>
      <c r="P232" s="2092"/>
      <c r="Q232" s="2092"/>
      <c r="R232" s="2092"/>
      <c r="S232" s="2092"/>
      <c r="T232" s="2092"/>
      <c r="U232" s="2092"/>
      <c r="V232" s="2092"/>
      <c r="W232" s="2092"/>
      <c r="X232" s="2092"/>
      <c r="Y232" s="2092"/>
      <c r="Z232" s="2092"/>
      <c r="AA232" s="2092"/>
      <c r="AB232" s="2092"/>
      <c r="AC232" s="2092"/>
      <c r="AD232" s="2092"/>
      <c r="AE232" s="2092"/>
      <c r="AF232" s="2092"/>
      <c r="AG232" s="2092"/>
      <c r="AH232" s="2092"/>
      <c r="AI232" s="2092"/>
      <c r="AJ232" s="2092"/>
      <c r="AK232" s="2092"/>
      <c r="AL232" s="2092"/>
      <c r="BB232" s="63" t="s">
        <v>704</v>
      </c>
      <c r="BC232" s="63"/>
      <c r="BD232" s="63"/>
      <c r="BE232" s="63"/>
      <c r="BF232" s="63"/>
      <c r="BG232" s="305">
        <f>IF(AND(AND($M$251="nonprofit",$M$259="nonprofit",$M$267="for profit")),2,0)</f>
        <v>0</v>
      </c>
    </row>
    <row r="233" spans="1:59" ht="13.8" thickTop="1">
      <c r="B233" s="40"/>
      <c r="D233" s="8"/>
      <c r="E233" s="40"/>
      <c r="F233" s="40"/>
      <c r="G233" s="40"/>
      <c r="H233" s="40"/>
      <c r="I233" s="40"/>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71"/>
      <c r="AJ233" s="71"/>
      <c r="AL233" s="72"/>
      <c r="BB233" s="63" t="s">
        <v>704</v>
      </c>
      <c r="BC233" s="63"/>
      <c r="BD233" s="63"/>
      <c r="BE233" s="63"/>
      <c r="BF233" s="63"/>
      <c r="BG233" s="305">
        <f>IF(AND(AND($M$251="nonprofit",$M$259="for profit",$M$267="nonprofit")),2,0)</f>
        <v>0</v>
      </c>
    </row>
    <row r="234" spans="1:59" ht="13.2">
      <c r="A234" s="63" t="s">
        <v>719</v>
      </c>
      <c r="B234" s="40"/>
      <c r="C234" s="63" t="s">
        <v>690</v>
      </c>
      <c r="D234" s="8"/>
      <c r="E234" s="40"/>
      <c r="F234" s="40"/>
      <c r="G234" s="40"/>
      <c r="H234" s="40"/>
      <c r="I234" s="40"/>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L234" s="72"/>
      <c r="BB234" s="63" t="s">
        <v>704</v>
      </c>
      <c r="BC234" s="63"/>
      <c r="BD234" s="63"/>
      <c r="BE234" s="63"/>
      <c r="BF234" s="63"/>
      <c r="BG234" s="260">
        <f>IF(AND(AND($M$251="for profit",$M$259="nonprofit",$M$267="nonprofit")),2,0)</f>
        <v>0</v>
      </c>
    </row>
    <row r="235" spans="1:59" ht="13.2">
      <c r="D235" s="71" t="s">
        <v>415</v>
      </c>
      <c r="E235" s="71"/>
      <c r="F235" s="71"/>
      <c r="G235" s="71"/>
      <c r="H235" s="71"/>
      <c r="I235" s="71"/>
      <c r="J235" s="71"/>
      <c r="K235" s="8"/>
      <c r="M235" s="2084" t="str">
        <f>H15</f>
        <v>Housing Authority of the City of Fresno</v>
      </c>
      <c r="N235" s="2084"/>
      <c r="O235" s="2084"/>
      <c r="P235" s="2084"/>
      <c r="Q235" s="2084"/>
      <c r="R235" s="2084"/>
      <c r="S235" s="2084"/>
      <c r="T235" s="2084"/>
      <c r="U235" s="2084"/>
      <c r="V235" s="2084"/>
      <c r="W235" s="2084"/>
      <c r="X235" s="2084"/>
      <c r="Y235" s="2084"/>
      <c r="Z235" s="2084"/>
      <c r="AA235" s="2084"/>
      <c r="AB235" s="2084"/>
      <c r="AC235" s="2084"/>
      <c r="AD235" s="2084"/>
      <c r="AE235" s="2084"/>
      <c r="AF235" s="2084"/>
      <c r="AG235" s="2084"/>
      <c r="AH235" s="2084"/>
      <c r="AI235" s="2084"/>
      <c r="AJ235" s="2084"/>
      <c r="AK235" s="2084"/>
      <c r="BB235" s="62"/>
      <c r="BC235" s="35"/>
      <c r="BD235" s="35"/>
      <c r="BE235" s="35"/>
      <c r="BF235" s="35"/>
      <c r="BG235" s="71"/>
    </row>
    <row r="236" spans="1:59" ht="12.75" customHeight="1">
      <c r="D236" s="71" t="s">
        <v>416</v>
      </c>
      <c r="E236" s="71"/>
      <c r="F236" s="71"/>
      <c r="G236" s="71"/>
      <c r="H236" s="71"/>
      <c r="I236" s="71"/>
      <c r="J236" s="71"/>
      <c r="K236" s="8"/>
      <c r="M236" s="1787" t="s">
        <v>2342</v>
      </c>
      <c r="N236" s="2070"/>
      <c r="O236" s="2070"/>
      <c r="P236" s="2070"/>
      <c r="Q236" s="2070"/>
      <c r="R236" s="2070"/>
      <c r="S236" s="2070"/>
      <c r="T236" s="2070"/>
      <c r="U236" s="2070"/>
      <c r="V236" s="2070"/>
      <c r="W236" s="2070"/>
      <c r="X236" s="2070"/>
      <c r="Y236" s="2070"/>
      <c r="Z236" s="2070"/>
      <c r="AA236" s="2070"/>
      <c r="AB236" s="2070"/>
      <c r="AC236" s="2070"/>
      <c r="AD236" s="2070"/>
      <c r="AE236" s="2070"/>
      <c r="AM236" s="72"/>
      <c r="AN236" s="72"/>
      <c r="BB236" s="16" t="s">
        <v>703</v>
      </c>
      <c r="BG236" s="646">
        <f>IF(AND(AND($M$251="nonprofit",$M$259="nonprofit",$M$267="nonprofit")),1,0)</f>
        <v>0</v>
      </c>
    </row>
    <row r="237" spans="1:59" ht="13.2">
      <c r="D237" s="71" t="s">
        <v>479</v>
      </c>
      <c r="E237" s="71"/>
      <c r="M237" s="1787" t="s">
        <v>439</v>
      </c>
      <c r="N237" s="2070"/>
      <c r="O237" s="2070"/>
      <c r="P237" s="2070"/>
      <c r="Q237" s="2070"/>
      <c r="R237" s="2070"/>
      <c r="S237" s="2070"/>
      <c r="T237" s="2070"/>
      <c r="V237" s="73" t="s">
        <v>417</v>
      </c>
      <c r="W237" s="1797" t="s">
        <v>2343</v>
      </c>
      <c r="X237" s="1785"/>
      <c r="Y237" s="71" t="s">
        <v>482</v>
      </c>
      <c r="AC237" s="2070">
        <v>93721</v>
      </c>
      <c r="AD237" s="2070"/>
      <c r="AE237" s="2070"/>
      <c r="AN237" s="72"/>
      <c r="BB237" s="16" t="s">
        <v>703</v>
      </c>
      <c r="BG237" s="646">
        <f>IF(AND(AND($M$251="nonprofit",$M$259="nonprofit",$M$267="(select one)")),1,0)</f>
        <v>1</v>
      </c>
    </row>
    <row r="238" spans="1:59" ht="13.2">
      <c r="D238" s="74" t="s">
        <v>418</v>
      </c>
      <c r="E238" s="8"/>
      <c r="F238" s="8"/>
      <c r="G238" s="8"/>
      <c r="H238" s="8"/>
      <c r="I238" s="8"/>
      <c r="J238" s="8"/>
      <c r="K238" s="39"/>
      <c r="M238" s="1787" t="s">
        <v>2506</v>
      </c>
      <c r="N238" s="2070"/>
      <c r="O238" s="2070"/>
      <c r="P238" s="2070"/>
      <c r="Q238" s="2070"/>
      <c r="R238" s="2070"/>
      <c r="S238" s="2070"/>
      <c r="T238" s="2070"/>
      <c r="U238" s="2070"/>
      <c r="V238" s="2070"/>
      <c r="W238" s="2070"/>
      <c r="X238" s="2070"/>
      <c r="Y238" s="2070"/>
      <c r="Z238" s="2070"/>
      <c r="AA238" s="2070"/>
      <c r="AB238" s="2070"/>
      <c r="AC238" s="2070"/>
      <c r="AD238" s="2070"/>
      <c r="AE238" s="2070"/>
      <c r="AI238" s="8"/>
      <c r="AJ238" s="8"/>
      <c r="AK238" s="8"/>
      <c r="AL238" s="8"/>
      <c r="AN238" s="72"/>
      <c r="BB238" s="16" t="s">
        <v>703</v>
      </c>
      <c r="BG238" s="646">
        <f>IF(AND(AND($M$251="nonprofit",$M$259="(select one)",$M$267="(select one)")),1,0)</f>
        <v>0</v>
      </c>
    </row>
    <row r="239" spans="1:59" ht="13.2">
      <c r="D239" s="74" t="s">
        <v>419</v>
      </c>
      <c r="E239" s="8"/>
      <c r="F239" s="8"/>
      <c r="M239" s="1789" t="s">
        <v>2405</v>
      </c>
      <c r="N239" s="1790"/>
      <c r="O239" s="1790"/>
      <c r="P239" s="1790"/>
      <c r="Q239" s="1790"/>
      <c r="R239" s="1790"/>
      <c r="S239" s="8" t="s">
        <v>900</v>
      </c>
      <c r="T239" s="8"/>
      <c r="U239" s="1785"/>
      <c r="V239" s="1785"/>
      <c r="W239" s="1785"/>
      <c r="X239" s="8" t="s">
        <v>420</v>
      </c>
      <c r="Z239" s="1789" t="s">
        <v>2344</v>
      </c>
      <c r="AA239" s="1790"/>
      <c r="AB239" s="1790"/>
      <c r="AC239" s="1790"/>
      <c r="AD239" s="1790"/>
      <c r="AE239" s="1790"/>
      <c r="AM239" s="72"/>
      <c r="AN239" s="72"/>
      <c r="BB239" s="16" t="s">
        <v>1114</v>
      </c>
      <c r="BG239" s="646">
        <f>IF(AND(AND($M$251="for profit",$M$259="for profit",$M$267="for profit")),3,0)</f>
        <v>0</v>
      </c>
    </row>
    <row r="240" spans="1:59" ht="13.2">
      <c r="D240" s="74" t="s">
        <v>421</v>
      </c>
      <c r="E240" s="8"/>
      <c r="F240" s="8"/>
      <c r="M240" s="2069" t="s">
        <v>2507</v>
      </c>
      <c r="N240" s="2069"/>
      <c r="O240" s="2069"/>
      <c r="P240" s="2069"/>
      <c r="Q240" s="2069"/>
      <c r="R240" s="2069"/>
      <c r="S240" s="2069"/>
      <c r="T240" s="2069"/>
      <c r="U240" s="2069"/>
      <c r="V240" s="2069"/>
      <c r="W240" s="2069"/>
      <c r="X240" s="2069"/>
      <c r="Y240" s="2069"/>
      <c r="Z240" s="2069"/>
      <c r="AA240" s="2069"/>
      <c r="AB240" s="2069"/>
      <c r="AC240" s="2069"/>
      <c r="AD240" s="2069"/>
      <c r="AE240" s="2069"/>
      <c r="AF240" s="8"/>
      <c r="AG240" s="8"/>
      <c r="AH240" s="8"/>
      <c r="AI240" s="8"/>
      <c r="AJ240" s="8"/>
      <c r="AK240" s="8"/>
      <c r="AL240" s="8"/>
      <c r="AN240" s="72"/>
      <c r="AO240" s="72"/>
      <c r="BB240" s="16" t="s">
        <v>1114</v>
      </c>
      <c r="BG240" s="647">
        <f>IF(AND(AND($M$251="for profit",$M$259="for profit",$M$267="(select one)")),3,0)</f>
        <v>0</v>
      </c>
    </row>
    <row r="241" spans="1:67" ht="13.2">
      <c r="A241" s="63" t="s">
        <v>8</v>
      </c>
      <c r="C241" s="48" t="s">
        <v>691</v>
      </c>
      <c r="M241" s="1796" t="s">
        <v>543</v>
      </c>
      <c r="N241" s="1796"/>
      <c r="O241" s="1796"/>
      <c r="P241" s="1796"/>
      <c r="Q241" s="1796"/>
      <c r="R241" s="1796"/>
      <c r="S241" s="1796"/>
      <c r="T241" s="1796"/>
      <c r="U241" s="8" t="s">
        <v>1267</v>
      </c>
      <c r="AA241" s="2072"/>
      <c r="AB241" s="2072"/>
      <c r="AC241" s="2072"/>
      <c r="AD241" s="2072"/>
      <c r="AE241" s="2072"/>
      <c r="AF241" s="2072"/>
      <c r="AG241" s="2072"/>
      <c r="AH241" s="2072"/>
      <c r="AI241" s="2072"/>
      <c r="AJ241" s="2072"/>
      <c r="AK241" s="2072"/>
      <c r="AL241" s="72"/>
      <c r="AM241" s="8"/>
      <c r="AN241" s="72"/>
      <c r="AO241" s="72"/>
      <c r="BB241" s="16" t="s">
        <v>1114</v>
      </c>
      <c r="BC241" s="35"/>
      <c r="BD241" s="35"/>
      <c r="BE241" s="35"/>
      <c r="BF241" s="35"/>
      <c r="BG241" s="647">
        <f>IF(AND(AND($M$251="for profit",$M$259="(select one)",$M$267="(select one)")),3,0)</f>
        <v>0</v>
      </c>
    </row>
    <row r="242" spans="1:67" ht="13.2">
      <c r="D242" s="16" t="s">
        <v>697</v>
      </c>
      <c r="M242" s="1788"/>
      <c r="N242" s="1788"/>
      <c r="O242" s="1788"/>
      <c r="P242" s="1788"/>
      <c r="Q242" s="1788"/>
      <c r="R242" s="1788"/>
      <c r="S242" s="1788"/>
      <c r="T242" s="1788"/>
      <c r="U242" s="1788"/>
      <c r="V242" s="1788"/>
      <c r="W242" s="1788"/>
      <c r="X242" s="1788"/>
      <c r="Y242" s="1788"/>
      <c r="Z242" s="1788"/>
      <c r="AA242" s="1788"/>
      <c r="AB242" s="1788"/>
      <c r="AC242" s="1788"/>
      <c r="AD242" s="1788"/>
      <c r="AE242" s="1788"/>
      <c r="AF242" s="8"/>
      <c r="AG242" s="8"/>
      <c r="AH242" s="8"/>
      <c r="AI242" s="8"/>
      <c r="AJ242" s="8"/>
      <c r="AK242" s="72"/>
      <c r="AL242" s="72"/>
    </row>
    <row r="243" spans="1:67" ht="13.2">
      <c r="D243" s="74"/>
      <c r="K243" s="3"/>
      <c r="AM243" s="8"/>
    </row>
    <row r="244" spans="1:67" ht="12.75" customHeight="1">
      <c r="A244" s="63" t="s">
        <v>131</v>
      </c>
      <c r="C244" s="63" t="s">
        <v>699</v>
      </c>
      <c r="D244" s="74"/>
      <c r="K244" s="3"/>
      <c r="L244" s="18"/>
      <c r="M244" s="18"/>
      <c r="N244" s="18"/>
      <c r="AN244" s="72"/>
      <c r="BB244" s="16" t="s">
        <v>86</v>
      </c>
      <c r="BH244" s="16">
        <v>1</v>
      </c>
      <c r="BI244" s="16" t="s">
        <v>700</v>
      </c>
    </row>
    <row r="245" spans="1:67" ht="13.2">
      <c r="A245" s="39"/>
      <c r="C245" s="147" t="s">
        <v>1644</v>
      </c>
      <c r="D245" s="71" t="s">
        <v>698</v>
      </c>
      <c r="E245" s="71"/>
      <c r="F245" s="71"/>
      <c r="G245" s="71"/>
      <c r="H245" s="71"/>
      <c r="I245" s="71"/>
      <c r="J245" s="71"/>
      <c r="K245" s="71"/>
      <c r="L245" s="8"/>
      <c r="M245" s="2077" t="s">
        <v>2328</v>
      </c>
      <c r="N245" s="2077"/>
      <c r="O245" s="2077"/>
      <c r="P245" s="2077"/>
      <c r="Q245" s="2077"/>
      <c r="R245" s="2077"/>
      <c r="S245" s="2077"/>
      <c r="T245" s="2077"/>
      <c r="U245" s="2077"/>
      <c r="V245" s="2077"/>
      <c r="W245" s="2077"/>
      <c r="X245" s="2077"/>
      <c r="Y245" s="2077"/>
      <c r="Z245" s="2077"/>
      <c r="AA245" s="2077"/>
      <c r="AB245" s="2077"/>
      <c r="AC245" s="2077"/>
      <c r="AD245" s="2077"/>
      <c r="AE245" s="2077"/>
      <c r="AF245" s="2071" t="s">
        <v>2345</v>
      </c>
      <c r="AG245" s="2071"/>
      <c r="AH245" s="2071"/>
      <c r="AI245" s="2071"/>
      <c r="AJ245" s="2071"/>
      <c r="AK245" s="2071"/>
      <c r="AM245" s="8"/>
      <c r="AN245" s="72"/>
      <c r="BB245" s="8" t="s">
        <v>994</v>
      </c>
      <c r="BH245" s="16">
        <v>2</v>
      </c>
      <c r="BI245" s="16" t="s">
        <v>812</v>
      </c>
      <c r="BO245" s="648" t="str">
        <f>VLOOKUP(AT260,BH244:BI246,2,FALSE)</f>
        <v>Nonprofit</v>
      </c>
    </row>
    <row r="246" spans="1:67" ht="13.2">
      <c r="A246" s="39"/>
      <c r="B246" s="8"/>
      <c r="C246" s="8"/>
      <c r="D246" s="71" t="s">
        <v>416</v>
      </c>
      <c r="E246" s="71"/>
      <c r="F246" s="71"/>
      <c r="G246" s="71"/>
      <c r="H246" s="71"/>
      <c r="I246" s="71"/>
      <c r="J246" s="71"/>
      <c r="K246" s="71"/>
      <c r="L246" s="8"/>
      <c r="M246" s="1787" t="s">
        <v>2342</v>
      </c>
      <c r="N246" s="2070"/>
      <c r="O246" s="2070"/>
      <c r="P246" s="2070"/>
      <c r="Q246" s="2070"/>
      <c r="R246" s="2070"/>
      <c r="S246" s="2070"/>
      <c r="T246" s="2070"/>
      <c r="U246" s="2070"/>
      <c r="V246" s="2070"/>
      <c r="W246" s="2070"/>
      <c r="X246" s="2070"/>
      <c r="Y246" s="2070"/>
      <c r="Z246" s="2070"/>
      <c r="AA246" s="2070"/>
      <c r="AB246" s="2070"/>
      <c r="AC246" s="2070"/>
      <c r="AD246" s="2070"/>
      <c r="AE246" s="2070"/>
      <c r="AL246" s="8"/>
      <c r="AN246" s="72"/>
      <c r="BB246" s="8" t="s">
        <v>503</v>
      </c>
      <c r="BH246" s="16">
        <v>3</v>
      </c>
      <c r="BI246" s="16" t="s">
        <v>702</v>
      </c>
    </row>
    <row r="247" spans="1:67" ht="13.2">
      <c r="A247" s="39"/>
      <c r="B247" s="8"/>
      <c r="C247" s="8"/>
      <c r="D247" s="71" t="s">
        <v>479</v>
      </c>
      <c r="E247" s="71"/>
      <c r="M247" s="1787" t="s">
        <v>439</v>
      </c>
      <c r="N247" s="2070"/>
      <c r="O247" s="2070"/>
      <c r="P247" s="2070"/>
      <c r="Q247" s="2070"/>
      <c r="R247" s="2070"/>
      <c r="S247" s="2070"/>
      <c r="T247" s="2070"/>
      <c r="V247" s="73" t="s">
        <v>417</v>
      </c>
      <c r="W247" s="1797" t="s">
        <v>2343</v>
      </c>
      <c r="X247" s="1785"/>
      <c r="Y247" s="71" t="s">
        <v>482</v>
      </c>
      <c r="AC247" s="2070">
        <v>93721</v>
      </c>
      <c r="AD247" s="2070"/>
      <c r="AE247" s="2070"/>
      <c r="AN247" s="72"/>
    </row>
    <row r="248" spans="1:67" ht="13.2">
      <c r="A248" s="39"/>
      <c r="B248" s="8"/>
      <c r="C248" s="8"/>
      <c r="D248" s="74" t="s">
        <v>418</v>
      </c>
      <c r="E248" s="8"/>
      <c r="F248" s="8"/>
      <c r="G248" s="8"/>
      <c r="H248" s="8"/>
      <c r="I248" s="8"/>
      <c r="J248" s="8"/>
      <c r="K248" s="8"/>
      <c r="L248" s="39"/>
      <c r="M248" s="1787" t="s">
        <v>2506</v>
      </c>
      <c r="N248" s="2070"/>
      <c r="O248" s="2070"/>
      <c r="P248" s="2070"/>
      <c r="Q248" s="2070"/>
      <c r="R248" s="2070"/>
      <c r="S248" s="2070"/>
      <c r="T248" s="2070"/>
      <c r="U248" s="2070"/>
      <c r="V248" s="2070"/>
      <c r="W248" s="2070"/>
      <c r="X248" s="2070"/>
      <c r="Y248" s="2070"/>
      <c r="Z248" s="2070"/>
      <c r="AA248" s="2070"/>
      <c r="AB248" s="2070"/>
      <c r="AC248" s="2070"/>
      <c r="AD248" s="2070"/>
      <c r="AE248" s="2070"/>
      <c r="AJ248" s="8"/>
      <c r="AK248" s="8"/>
      <c r="AL248" s="8"/>
      <c r="AN248" s="72"/>
    </row>
    <row r="249" spans="1:67" ht="13.2">
      <c r="A249" s="39"/>
      <c r="B249" s="8"/>
      <c r="C249" s="8"/>
      <c r="D249" s="74" t="s">
        <v>419</v>
      </c>
      <c r="E249" s="8"/>
      <c r="F249" s="8"/>
      <c r="M249" s="1789" t="s">
        <v>2510</v>
      </c>
      <c r="N249" s="1790"/>
      <c r="O249" s="1790"/>
      <c r="P249" s="1790"/>
      <c r="Q249" s="1790"/>
      <c r="R249" s="1790"/>
      <c r="S249" s="8" t="s">
        <v>900</v>
      </c>
      <c r="T249" s="8"/>
      <c r="U249" s="1785"/>
      <c r="V249" s="1785"/>
      <c r="W249" s="1785"/>
      <c r="X249" s="8" t="s">
        <v>420</v>
      </c>
      <c r="Z249" s="1789" t="s">
        <v>2344</v>
      </c>
      <c r="AA249" s="1790"/>
      <c r="AB249" s="1790"/>
      <c r="AC249" s="1790"/>
      <c r="AD249" s="1790"/>
      <c r="AE249" s="1790"/>
      <c r="AM249" s="8"/>
      <c r="AN249" s="72"/>
    </row>
    <row r="250" spans="1:67" ht="13.2">
      <c r="A250" s="39"/>
      <c r="B250" s="8"/>
      <c r="C250" s="8"/>
      <c r="D250" s="74" t="s">
        <v>421</v>
      </c>
      <c r="E250" s="8"/>
      <c r="F250" s="8"/>
      <c r="M250" s="2069" t="s">
        <v>2507</v>
      </c>
      <c r="N250" s="2069"/>
      <c r="O250" s="2069"/>
      <c r="P250" s="2069"/>
      <c r="Q250" s="2069"/>
      <c r="R250" s="2069"/>
      <c r="S250" s="2069"/>
      <c r="T250" s="2069"/>
      <c r="U250" s="2069"/>
      <c r="V250" s="2069"/>
      <c r="W250" s="2069"/>
      <c r="X250" s="2069"/>
      <c r="Y250" s="2069"/>
      <c r="Z250" s="2069"/>
      <c r="AA250" s="2069"/>
      <c r="AB250" s="2069"/>
      <c r="AC250" s="2069"/>
      <c r="AD250" s="2069"/>
      <c r="AE250" s="2069"/>
      <c r="AG250" s="8"/>
      <c r="AH250" s="8"/>
      <c r="AI250" s="8"/>
      <c r="AJ250" s="8"/>
      <c r="AK250" s="8"/>
      <c r="AL250" s="8"/>
    </row>
    <row r="251" spans="1:67" ht="13.2">
      <c r="A251" s="33"/>
      <c r="B251" s="8"/>
      <c r="C251" s="147"/>
      <c r="D251" s="74" t="s">
        <v>701</v>
      </c>
      <c r="E251" s="8"/>
      <c r="F251" s="8"/>
      <c r="G251" s="8"/>
      <c r="H251" s="8"/>
      <c r="I251" s="8"/>
      <c r="J251" s="8"/>
      <c r="K251" s="8"/>
      <c r="L251" s="8"/>
      <c r="M251" s="1796" t="s">
        <v>700</v>
      </c>
      <c r="N251" s="1796"/>
      <c r="O251" s="1796"/>
      <c r="P251" s="1796"/>
      <c r="Q251" s="1796"/>
      <c r="R251" s="1796"/>
      <c r="S251" s="1796"/>
      <c r="T251" s="1796"/>
      <c r="U251" s="8" t="s">
        <v>1267</v>
      </c>
      <c r="AA251" s="2072"/>
      <c r="AB251" s="2072"/>
      <c r="AC251" s="2072"/>
      <c r="AD251" s="2072"/>
      <c r="AE251" s="2072"/>
      <c r="AF251" s="2072"/>
      <c r="AG251" s="2072"/>
      <c r="AH251" s="2072"/>
      <c r="AI251" s="2072"/>
      <c r="AJ251" s="2072"/>
      <c r="AK251" s="2072"/>
      <c r="AM251" s="8"/>
    </row>
    <row r="252" spans="1:67" ht="12.9" customHeight="1">
      <c r="A252" s="39"/>
      <c r="B252" s="8"/>
      <c r="C252" s="8"/>
      <c r="D252" s="8"/>
      <c r="E252" s="8"/>
      <c r="F252" s="8"/>
      <c r="G252" s="8"/>
      <c r="H252" s="8"/>
      <c r="I252" s="8"/>
      <c r="J252" s="8"/>
      <c r="K252" s="8"/>
      <c r="L252" s="8"/>
      <c r="AG252" s="8"/>
      <c r="AH252" s="8"/>
      <c r="AI252" s="8"/>
      <c r="AJ252" s="71"/>
    </row>
    <row r="253" spans="1:67" ht="13.2">
      <c r="A253" s="116"/>
      <c r="B253" s="8"/>
      <c r="C253" s="147" t="s">
        <v>1645</v>
      </c>
      <c r="D253" s="71" t="s">
        <v>1344</v>
      </c>
      <c r="E253" s="71"/>
      <c r="F253" s="71"/>
      <c r="G253" s="71"/>
      <c r="H253" s="71"/>
      <c r="I253" s="71"/>
      <c r="J253" s="71"/>
      <c r="K253" s="71"/>
      <c r="L253" s="8"/>
      <c r="M253" s="2077" t="s">
        <v>2346</v>
      </c>
      <c r="N253" s="2077"/>
      <c r="O253" s="2077"/>
      <c r="P253" s="2077"/>
      <c r="Q253" s="2077"/>
      <c r="R253" s="2077"/>
      <c r="S253" s="2077"/>
      <c r="T253" s="2077"/>
      <c r="U253" s="2077"/>
      <c r="V253" s="2077"/>
      <c r="W253" s="2077"/>
      <c r="X253" s="2077"/>
      <c r="Y253" s="2077"/>
      <c r="Z253" s="2077"/>
      <c r="AA253" s="2077"/>
      <c r="AB253" s="2077"/>
      <c r="AC253" s="2077"/>
      <c r="AD253" s="2077"/>
      <c r="AE253" s="2077"/>
      <c r="AF253" s="2071" t="s">
        <v>2347</v>
      </c>
      <c r="AG253" s="2071"/>
      <c r="AH253" s="2071"/>
      <c r="AI253" s="2071"/>
      <c r="AJ253" s="2071"/>
      <c r="AK253" s="2071"/>
      <c r="AM253" s="8"/>
    </row>
    <row r="254" spans="1:67" ht="13.2">
      <c r="A254" s="39"/>
      <c r="B254" s="8"/>
      <c r="C254" s="8"/>
      <c r="D254" s="71" t="s">
        <v>416</v>
      </c>
      <c r="E254" s="71"/>
      <c r="F254" s="71"/>
      <c r="G254" s="71"/>
      <c r="H254" s="71"/>
      <c r="I254" s="71"/>
      <c r="J254" s="71"/>
      <c r="K254" s="71"/>
      <c r="L254" s="8"/>
      <c r="M254" s="1787" t="s">
        <v>2342</v>
      </c>
      <c r="N254" s="2070"/>
      <c r="O254" s="2070"/>
      <c r="P254" s="2070"/>
      <c r="Q254" s="2070"/>
      <c r="R254" s="2070"/>
      <c r="S254" s="2070"/>
      <c r="T254" s="2070"/>
      <c r="U254" s="2070"/>
      <c r="V254" s="2070"/>
      <c r="W254" s="2070"/>
      <c r="X254" s="2070"/>
      <c r="Y254" s="2070"/>
      <c r="Z254" s="2070"/>
      <c r="AA254" s="2070"/>
      <c r="AB254" s="2070"/>
      <c r="AC254" s="2070"/>
      <c r="AD254" s="2070"/>
      <c r="AE254" s="2070"/>
      <c r="AL254" s="8"/>
    </row>
    <row r="255" spans="1:67" ht="13.2">
      <c r="A255" s="39"/>
      <c r="B255" s="8"/>
      <c r="C255" s="8"/>
      <c r="D255" s="71" t="s">
        <v>479</v>
      </c>
      <c r="E255" s="71"/>
      <c r="M255" s="1787" t="s">
        <v>439</v>
      </c>
      <c r="N255" s="2070"/>
      <c r="O255" s="2070"/>
      <c r="P255" s="2070"/>
      <c r="Q255" s="2070"/>
      <c r="R255" s="2070"/>
      <c r="S255" s="2070"/>
      <c r="T255" s="2070"/>
      <c r="V255" s="73" t="s">
        <v>417</v>
      </c>
      <c r="W255" s="1797" t="s">
        <v>2343</v>
      </c>
      <c r="X255" s="1785"/>
      <c r="Y255" s="71" t="s">
        <v>482</v>
      </c>
      <c r="AC255" s="2070">
        <v>93721</v>
      </c>
      <c r="AD255" s="2070"/>
      <c r="AE255" s="2070"/>
    </row>
    <row r="256" spans="1:67" ht="13.2">
      <c r="A256" s="39"/>
      <c r="B256" s="8"/>
      <c r="C256" s="8"/>
      <c r="D256" s="74" t="s">
        <v>418</v>
      </c>
      <c r="E256" s="8"/>
      <c r="F256" s="8"/>
      <c r="G256" s="8"/>
      <c r="H256" s="8"/>
      <c r="I256" s="8"/>
      <c r="J256" s="8"/>
      <c r="K256" s="8"/>
      <c r="L256" s="39"/>
      <c r="M256" s="1787" t="s">
        <v>2506</v>
      </c>
      <c r="N256" s="2070"/>
      <c r="O256" s="2070"/>
      <c r="P256" s="2070"/>
      <c r="Q256" s="2070"/>
      <c r="R256" s="2070"/>
      <c r="S256" s="2070"/>
      <c r="T256" s="2070"/>
      <c r="U256" s="2070"/>
      <c r="V256" s="2070"/>
      <c r="W256" s="2070"/>
      <c r="X256" s="2070"/>
      <c r="Y256" s="2070"/>
      <c r="Z256" s="2070"/>
      <c r="AA256" s="2070"/>
      <c r="AB256" s="2070"/>
      <c r="AC256" s="2070"/>
      <c r="AD256" s="2070"/>
      <c r="AE256" s="2070"/>
      <c r="AJ256" s="8"/>
      <c r="AK256" s="8"/>
      <c r="AL256" s="8"/>
    </row>
    <row r="257" spans="1:53" ht="13.2">
      <c r="A257" s="39"/>
      <c r="B257" s="8"/>
      <c r="C257" s="8"/>
      <c r="D257" s="74" t="s">
        <v>419</v>
      </c>
      <c r="E257" s="8"/>
      <c r="F257" s="8"/>
      <c r="M257" s="1789" t="s">
        <v>2510</v>
      </c>
      <c r="N257" s="1790"/>
      <c r="O257" s="1790"/>
      <c r="P257" s="1790"/>
      <c r="Q257" s="1790"/>
      <c r="R257" s="1790"/>
      <c r="S257" s="8" t="s">
        <v>900</v>
      </c>
      <c r="T257" s="8"/>
      <c r="U257" s="1785"/>
      <c r="V257" s="1785"/>
      <c r="W257" s="1785"/>
      <c r="X257" s="8" t="s">
        <v>420</v>
      </c>
      <c r="Z257" s="1789" t="s">
        <v>2344</v>
      </c>
      <c r="AA257" s="1790"/>
      <c r="AB257" s="1790"/>
      <c r="AC257" s="1790"/>
      <c r="AD257" s="1790"/>
      <c r="AE257" s="1790"/>
      <c r="BA257" s="75"/>
    </row>
    <row r="258" spans="1:53" ht="13.2">
      <c r="A258" s="39"/>
      <c r="B258" s="8"/>
      <c r="C258" s="8"/>
      <c r="D258" s="74" t="s">
        <v>421</v>
      </c>
      <c r="E258" s="8"/>
      <c r="F258" s="8"/>
      <c r="M258" s="2069" t="s">
        <v>2507</v>
      </c>
      <c r="N258" s="2069"/>
      <c r="O258" s="2069"/>
      <c r="P258" s="2069"/>
      <c r="Q258" s="2069"/>
      <c r="R258" s="2069"/>
      <c r="S258" s="2069"/>
      <c r="T258" s="2069"/>
      <c r="U258" s="2069"/>
      <c r="V258" s="2069"/>
      <c r="W258" s="2069"/>
      <c r="X258" s="2069"/>
      <c r="Y258" s="2069"/>
      <c r="Z258" s="2069"/>
      <c r="AA258" s="2069"/>
      <c r="AB258" s="2069"/>
      <c r="AC258" s="2069"/>
      <c r="AD258" s="2069"/>
      <c r="AE258" s="2069"/>
      <c r="AG258" s="8"/>
      <c r="AH258" s="8"/>
      <c r="AI258" s="8"/>
      <c r="AJ258" s="8"/>
      <c r="AK258" s="8"/>
      <c r="AL258" s="8"/>
      <c r="BA258" s="35"/>
    </row>
    <row r="259" spans="1:53" ht="13.2">
      <c r="A259" s="33"/>
      <c r="B259" s="8"/>
      <c r="C259" s="147"/>
      <c r="D259" s="74" t="s">
        <v>701</v>
      </c>
      <c r="E259" s="8"/>
      <c r="F259" s="8"/>
      <c r="G259" s="8"/>
      <c r="H259" s="8"/>
      <c r="I259" s="8"/>
      <c r="J259" s="8"/>
      <c r="K259" s="8"/>
      <c r="L259" s="8"/>
      <c r="M259" s="1796" t="s">
        <v>700</v>
      </c>
      <c r="N259" s="1796"/>
      <c r="O259" s="1796"/>
      <c r="P259" s="1796"/>
      <c r="Q259" s="1796"/>
      <c r="R259" s="1796"/>
      <c r="S259" s="1796"/>
      <c r="T259" s="1796"/>
      <c r="U259" s="8" t="s">
        <v>1267</v>
      </c>
      <c r="AA259" s="2072"/>
      <c r="AB259" s="2072"/>
      <c r="AC259" s="2072"/>
      <c r="AD259" s="2072"/>
      <c r="AE259" s="2072"/>
      <c r="AF259" s="2072"/>
      <c r="AG259" s="2072"/>
      <c r="AH259" s="2072"/>
      <c r="AI259" s="2072"/>
      <c r="AJ259" s="2072"/>
      <c r="AK259" s="2072"/>
      <c r="AL259" s="72"/>
      <c r="BA259" s="3"/>
    </row>
    <row r="260" spans="1:53" ht="12.9" customHeight="1">
      <c r="A260" s="33"/>
      <c r="B260" s="8"/>
      <c r="C260" s="147"/>
      <c r="D260" s="74"/>
      <c r="E260" s="8"/>
      <c r="F260" s="8"/>
      <c r="G260" s="8"/>
      <c r="H260" s="8"/>
      <c r="I260" s="8"/>
      <c r="J260" s="8"/>
      <c r="K260" s="8"/>
      <c r="L260" s="8"/>
      <c r="M260" s="18"/>
      <c r="N260" s="18"/>
      <c r="O260" s="18"/>
      <c r="P260" s="18"/>
      <c r="Q260" s="18"/>
      <c r="R260" s="18"/>
      <c r="S260" s="18"/>
      <c r="T260" s="18"/>
      <c r="U260" s="412"/>
      <c r="V260" s="412"/>
      <c r="W260" s="412"/>
      <c r="X260" s="412"/>
      <c r="Y260" s="412"/>
      <c r="Z260" s="412"/>
      <c r="AA260" s="412"/>
      <c r="AB260" s="412"/>
      <c r="AC260" s="412"/>
      <c r="AD260" s="412"/>
      <c r="AE260" s="8"/>
      <c r="AF260" s="8"/>
      <c r="AG260" s="8"/>
      <c r="AH260" s="8"/>
      <c r="AI260" s="8"/>
      <c r="AJ260" s="8"/>
      <c r="AK260" s="8"/>
      <c r="AL260" s="72"/>
      <c r="AT260" s="16">
        <f>SUM(BG226:BG241)</f>
        <v>1</v>
      </c>
      <c r="BA260" s="3"/>
    </row>
    <row r="261" spans="1:53" ht="13.2">
      <c r="A261" s="33"/>
      <c r="B261" s="8"/>
      <c r="C261" s="147" t="s">
        <v>2158</v>
      </c>
      <c r="D261" s="71" t="s">
        <v>698</v>
      </c>
      <c r="E261" s="71"/>
      <c r="F261" s="71"/>
      <c r="G261" s="71"/>
      <c r="H261" s="71"/>
      <c r="I261" s="71"/>
      <c r="J261" s="71"/>
      <c r="K261" s="71"/>
      <c r="L261" s="8"/>
      <c r="M261" s="2071"/>
      <c r="N261" s="2071"/>
      <c r="O261" s="2071"/>
      <c r="P261" s="2071"/>
      <c r="Q261" s="2071"/>
      <c r="R261" s="2071"/>
      <c r="S261" s="2071"/>
      <c r="T261" s="2071"/>
      <c r="U261" s="2071"/>
      <c r="V261" s="2071"/>
      <c r="W261" s="2071"/>
      <c r="X261" s="2071"/>
      <c r="Y261" s="2071"/>
      <c r="Z261" s="2071"/>
      <c r="AA261" s="2071"/>
      <c r="AB261" s="2071"/>
      <c r="AC261" s="2071"/>
      <c r="AD261" s="2071"/>
      <c r="AE261" s="2071"/>
      <c r="AF261" s="2071" t="s">
        <v>86</v>
      </c>
      <c r="AG261" s="2071"/>
      <c r="AH261" s="2071"/>
      <c r="AI261" s="2071"/>
      <c r="AJ261" s="2071"/>
      <c r="AK261" s="2071"/>
      <c r="AL261" s="72"/>
      <c r="BA261" s="3"/>
    </row>
    <row r="262" spans="1:53" ht="13.2">
      <c r="A262" s="33"/>
      <c r="B262" s="8"/>
      <c r="C262" s="8"/>
      <c r="D262" s="71" t="s">
        <v>416</v>
      </c>
      <c r="E262" s="71"/>
      <c r="F262" s="71"/>
      <c r="G262" s="71"/>
      <c r="H262" s="71"/>
      <c r="I262" s="71"/>
      <c r="J262" s="71"/>
      <c r="K262" s="71"/>
      <c r="L262" s="8"/>
      <c r="M262" s="2070"/>
      <c r="N262" s="2070"/>
      <c r="O262" s="2070"/>
      <c r="P262" s="2070"/>
      <c r="Q262" s="2070"/>
      <c r="R262" s="2070"/>
      <c r="S262" s="2070"/>
      <c r="T262" s="2070"/>
      <c r="U262" s="2070"/>
      <c r="V262" s="2070"/>
      <c r="W262" s="2070"/>
      <c r="X262" s="2070"/>
      <c r="Y262" s="2070"/>
      <c r="Z262" s="2070"/>
      <c r="AA262" s="2070"/>
      <c r="AB262" s="2070"/>
      <c r="AC262" s="2070"/>
      <c r="AD262" s="2070"/>
      <c r="AE262" s="2070"/>
      <c r="AL262" s="72"/>
      <c r="BA262" s="651"/>
    </row>
    <row r="263" spans="1:53" ht="13.2">
      <c r="A263" s="33"/>
      <c r="B263" s="8"/>
      <c r="C263" s="8"/>
      <c r="D263" s="71" t="s">
        <v>479</v>
      </c>
      <c r="E263" s="71"/>
      <c r="M263" s="2070"/>
      <c r="N263" s="2070"/>
      <c r="O263" s="2070"/>
      <c r="P263" s="2070"/>
      <c r="Q263" s="2070"/>
      <c r="R263" s="2070"/>
      <c r="S263" s="2070"/>
      <c r="T263" s="2070"/>
      <c r="V263" s="73" t="s">
        <v>417</v>
      </c>
      <c r="W263" s="1785"/>
      <c r="X263" s="1785"/>
      <c r="Y263" s="71" t="s">
        <v>482</v>
      </c>
      <c r="AC263" s="2070"/>
      <c r="AD263" s="2070"/>
      <c r="AE263" s="2070"/>
      <c r="AL263" s="72"/>
      <c r="BA263" s="75"/>
    </row>
    <row r="264" spans="1:53" ht="13.2">
      <c r="A264" s="33"/>
      <c r="B264" s="8"/>
      <c r="C264" s="8"/>
      <c r="D264" s="74" t="s">
        <v>418</v>
      </c>
      <c r="E264" s="8"/>
      <c r="F264" s="8"/>
      <c r="G264" s="8"/>
      <c r="H264" s="8"/>
      <c r="I264" s="8"/>
      <c r="J264" s="8"/>
      <c r="K264" s="8"/>
      <c r="L264" s="39"/>
      <c r="M264" s="2070"/>
      <c r="N264" s="2070"/>
      <c r="O264" s="2070"/>
      <c r="P264" s="2070"/>
      <c r="Q264" s="2070"/>
      <c r="R264" s="2070"/>
      <c r="S264" s="2070"/>
      <c r="T264" s="2070"/>
      <c r="U264" s="2070"/>
      <c r="V264" s="2070"/>
      <c r="W264" s="2070"/>
      <c r="X264" s="2070"/>
      <c r="Y264" s="2070"/>
      <c r="Z264" s="2070"/>
      <c r="AA264" s="2070"/>
      <c r="AB264" s="2070"/>
      <c r="AC264" s="2070"/>
      <c r="AD264" s="2070"/>
      <c r="AE264" s="2070"/>
      <c r="AJ264" s="8"/>
      <c r="AK264" s="8"/>
      <c r="AL264" s="72"/>
      <c r="BA264" s="75"/>
    </row>
    <row r="265" spans="1:53" ht="13.2">
      <c r="A265" s="33"/>
      <c r="B265" s="8"/>
      <c r="C265" s="8"/>
      <c r="D265" s="74" t="s">
        <v>419</v>
      </c>
      <c r="E265" s="8"/>
      <c r="F265" s="8"/>
      <c r="M265" s="1790"/>
      <c r="N265" s="1790"/>
      <c r="O265" s="1790"/>
      <c r="P265" s="1790"/>
      <c r="Q265" s="1790"/>
      <c r="R265" s="1790"/>
      <c r="S265" s="8" t="s">
        <v>900</v>
      </c>
      <c r="T265" s="8"/>
      <c r="U265" s="1785"/>
      <c r="V265" s="1785"/>
      <c r="W265" s="1785"/>
      <c r="X265" s="8" t="s">
        <v>420</v>
      </c>
      <c r="Z265" s="1790"/>
      <c r="AA265" s="1790"/>
      <c r="AB265" s="1790"/>
      <c r="AC265" s="1790"/>
      <c r="AD265" s="1790"/>
      <c r="AE265" s="1790"/>
      <c r="AL265" s="72"/>
      <c r="BA265" s="75"/>
    </row>
    <row r="266" spans="1:53" ht="13.2">
      <c r="A266" s="33"/>
      <c r="B266" s="8"/>
      <c r="C266" s="8"/>
      <c r="D266" s="74" t="s">
        <v>421</v>
      </c>
      <c r="E266" s="8"/>
      <c r="F266" s="8"/>
      <c r="M266" s="2069"/>
      <c r="N266" s="2069"/>
      <c r="O266" s="2069"/>
      <c r="P266" s="2069"/>
      <c r="Q266" s="2069"/>
      <c r="R266" s="2069"/>
      <c r="S266" s="2069"/>
      <c r="T266" s="2069"/>
      <c r="U266" s="2069"/>
      <c r="V266" s="2069"/>
      <c r="W266" s="2069"/>
      <c r="X266" s="2069"/>
      <c r="Y266" s="2069"/>
      <c r="Z266" s="2069"/>
      <c r="AA266" s="2069"/>
      <c r="AB266" s="2069"/>
      <c r="AC266" s="2069"/>
      <c r="AD266" s="2069"/>
      <c r="AE266" s="2069"/>
      <c r="AG266" s="8"/>
      <c r="AH266" s="8"/>
      <c r="AI266" s="8"/>
      <c r="AJ266" s="8"/>
      <c r="AK266" s="8"/>
      <c r="AL266" s="72"/>
      <c r="BA266" s="75"/>
    </row>
    <row r="267" spans="1:53" ht="13.2">
      <c r="A267" s="33"/>
      <c r="B267" s="8"/>
      <c r="C267" s="147"/>
      <c r="D267" s="74" t="s">
        <v>701</v>
      </c>
      <c r="E267" s="8"/>
      <c r="F267" s="8"/>
      <c r="G267" s="8"/>
      <c r="H267" s="8"/>
      <c r="I267" s="8"/>
      <c r="J267" s="8"/>
      <c r="K267" s="8"/>
      <c r="L267" s="8"/>
      <c r="M267" s="1796" t="s">
        <v>86</v>
      </c>
      <c r="N267" s="1796"/>
      <c r="O267" s="1796"/>
      <c r="P267" s="1796"/>
      <c r="Q267" s="1796"/>
      <c r="R267" s="1796"/>
      <c r="S267" s="1796"/>
      <c r="T267" s="1796"/>
      <c r="U267" s="8" t="s">
        <v>1267</v>
      </c>
      <c r="AA267" s="2072"/>
      <c r="AB267" s="2072"/>
      <c r="AC267" s="2072"/>
      <c r="AD267" s="2072"/>
      <c r="AE267" s="2072"/>
      <c r="AF267" s="2072"/>
      <c r="AG267" s="2072"/>
      <c r="AH267" s="2072"/>
      <c r="AI267" s="2072"/>
      <c r="AJ267" s="2072"/>
      <c r="AK267" s="2072"/>
      <c r="AL267" s="72"/>
      <c r="BA267" s="75"/>
    </row>
    <row r="268" spans="1:53" ht="13.2">
      <c r="A268" s="39"/>
      <c r="B268" s="8"/>
      <c r="C268" s="8"/>
      <c r="D268" s="74"/>
      <c r="E268" s="8"/>
      <c r="F268" s="8"/>
      <c r="J268" s="394"/>
      <c r="K268" s="412"/>
      <c r="L268" s="412"/>
      <c r="M268" s="412"/>
      <c r="N268" s="412"/>
      <c r="O268" s="412"/>
      <c r="P268" s="412"/>
      <c r="Q268" s="412"/>
      <c r="R268" s="412"/>
      <c r="S268" s="412"/>
      <c r="T268" s="412"/>
      <c r="U268" s="412"/>
      <c r="V268" s="412"/>
      <c r="W268" s="412"/>
      <c r="X268" s="412"/>
      <c r="Y268" s="412"/>
      <c r="Z268" s="412"/>
      <c r="AA268" s="412"/>
      <c r="AB268" s="412"/>
      <c r="AC268" s="412"/>
      <c r="AD268" s="8"/>
      <c r="AE268" s="8"/>
      <c r="AF268" s="8"/>
      <c r="AG268" s="8"/>
      <c r="AH268" s="8"/>
      <c r="AI268" s="8"/>
      <c r="AJ268" s="8"/>
      <c r="AK268" s="72"/>
      <c r="BA268" s="75"/>
    </row>
    <row r="269" spans="1:53" ht="12.9" customHeight="1">
      <c r="A269" s="142" t="s">
        <v>134</v>
      </c>
      <c r="B269" s="8"/>
      <c r="C269" s="63" t="s">
        <v>295</v>
      </c>
      <c r="D269" s="8"/>
      <c r="E269" s="8"/>
      <c r="F269" s="8"/>
      <c r="G269" s="8"/>
      <c r="H269" s="8"/>
      <c r="I269" s="8"/>
      <c r="J269" s="8"/>
      <c r="K269" s="8"/>
      <c r="L269" s="8"/>
      <c r="M269" s="274"/>
      <c r="N269" s="274"/>
      <c r="O269" s="274"/>
      <c r="P269" s="274"/>
      <c r="Q269" s="274"/>
      <c r="T269" s="2176" t="str">
        <f>BO245</f>
        <v>Nonprofit</v>
      </c>
      <c r="U269" s="2176"/>
      <c r="V269" s="2176"/>
      <c r="W269" s="2176"/>
      <c r="X269" s="2176"/>
      <c r="Z269" s="757" t="s">
        <v>1345</v>
      </c>
      <c r="AA269" s="86"/>
      <c r="AB269" s="86"/>
      <c r="AC269" s="86"/>
      <c r="AD269" s="86"/>
      <c r="AE269" s="86"/>
      <c r="AF269" s="307"/>
      <c r="AG269" s="307"/>
      <c r="AH269" s="307"/>
      <c r="AI269" s="307"/>
      <c r="AJ269" s="307"/>
      <c r="AK269" s="86"/>
      <c r="AL269" s="108"/>
      <c r="BA269" s="75"/>
    </row>
    <row r="270" spans="1:53" ht="12.9" customHeight="1">
      <c r="A270" s="63"/>
      <c r="B270" s="8"/>
      <c r="C270" s="63"/>
      <c r="I270" s="8"/>
      <c r="J270" s="8"/>
      <c r="K270" s="8"/>
      <c r="L270" s="8"/>
      <c r="M270" s="274"/>
      <c r="N270" s="274"/>
      <c r="O270" s="274"/>
      <c r="P270" s="274"/>
      <c r="Q270" s="274"/>
      <c r="T270" s="8"/>
      <c r="U270" s="8"/>
      <c r="V270" s="8"/>
      <c r="W270" s="76"/>
      <c r="Z270" s="758" t="s">
        <v>1342</v>
      </c>
      <c r="AA270" s="35"/>
      <c r="AB270" s="35"/>
      <c r="AC270" s="35"/>
      <c r="AD270" s="35"/>
      <c r="AE270" s="35"/>
      <c r="AF270" s="71"/>
      <c r="AG270" s="71"/>
      <c r="AH270" s="71"/>
      <c r="AI270" s="71"/>
      <c r="AJ270" s="71"/>
      <c r="AK270" s="35"/>
      <c r="AL270" s="115"/>
      <c r="BA270" s="75"/>
    </row>
    <row r="271" spans="1:53" ht="13.2">
      <c r="A271" s="63" t="s">
        <v>135</v>
      </c>
      <c r="B271" s="8"/>
      <c r="C271" s="63" t="s">
        <v>502</v>
      </c>
      <c r="D271" s="8"/>
      <c r="E271" s="8"/>
      <c r="F271" s="8"/>
      <c r="G271" s="8"/>
      <c r="H271" s="8"/>
      <c r="I271" s="8"/>
      <c r="J271" s="8"/>
      <c r="K271" s="8"/>
      <c r="L271" s="8"/>
      <c r="M271" s="8"/>
      <c r="N271" s="8"/>
      <c r="O271" s="8"/>
      <c r="P271" s="8"/>
      <c r="Q271" s="8"/>
      <c r="R271" s="8"/>
      <c r="S271" s="8"/>
      <c r="T271" s="8"/>
      <c r="U271" s="8"/>
      <c r="V271" s="8"/>
      <c r="W271" s="8"/>
      <c r="Z271" s="759" t="s">
        <v>1343</v>
      </c>
      <c r="AA271" s="94"/>
      <c r="AB271" s="94"/>
      <c r="AC271" s="94"/>
      <c r="AD271" s="305"/>
      <c r="AE271" s="305"/>
      <c r="AF271" s="305"/>
      <c r="AG271" s="305"/>
      <c r="AH271" s="305"/>
      <c r="AI271" s="305"/>
      <c r="AJ271" s="305"/>
      <c r="AK271" s="646"/>
      <c r="AL271" s="760"/>
    </row>
    <row r="272" spans="1:53" ht="13.2">
      <c r="A272" s="71"/>
      <c r="B272" s="77">
        <v>0</v>
      </c>
      <c r="D272" s="2070" t="s">
        <v>503</v>
      </c>
      <c r="E272" s="2070"/>
      <c r="F272" s="2070"/>
      <c r="G272" s="2070"/>
      <c r="H272" s="2070"/>
      <c r="J272" s="16" t="s">
        <v>993</v>
      </c>
      <c r="X272" s="2201">
        <v>44287</v>
      </c>
      <c r="Y272" s="2201"/>
      <c r="Z272" s="2201"/>
      <c r="AA272" s="2201"/>
      <c r="AB272" s="2201"/>
      <c r="AC272" s="2201"/>
      <c r="BA272" s="75"/>
    </row>
    <row r="273" spans="1:53" ht="13.2">
      <c r="A273" s="8"/>
      <c r="B273" s="39"/>
      <c r="D273" s="78" t="s">
        <v>162</v>
      </c>
      <c r="E273" s="8"/>
      <c r="F273" s="8"/>
      <c r="G273" s="8"/>
      <c r="H273" s="8"/>
      <c r="I273" s="8"/>
      <c r="J273" s="8"/>
      <c r="K273" s="8"/>
      <c r="L273" s="8"/>
      <c r="M273" s="8"/>
      <c r="N273" s="8"/>
      <c r="O273" s="8"/>
      <c r="P273" s="8"/>
      <c r="Q273" s="8"/>
      <c r="R273" s="8"/>
      <c r="S273" s="8"/>
      <c r="T273" s="8"/>
      <c r="U273" s="8"/>
      <c r="V273" s="8"/>
      <c r="W273" s="8"/>
      <c r="X273" s="8"/>
      <c r="Y273" s="8"/>
      <c r="Z273" s="8"/>
      <c r="AA273" s="8"/>
      <c r="AH273" s="8"/>
      <c r="AI273" s="8"/>
      <c r="AJ273" s="8"/>
      <c r="AK273" s="72"/>
      <c r="AL273" s="72"/>
      <c r="BA273" s="75"/>
    </row>
    <row r="274" spans="1:53" ht="12.75" customHeight="1">
      <c r="A274" s="76"/>
      <c r="B274" s="76"/>
      <c r="C274" s="76"/>
      <c r="D274" s="76"/>
      <c r="E274" s="76"/>
      <c r="F274" s="76"/>
      <c r="G274" s="76"/>
      <c r="H274" s="76"/>
      <c r="I274" s="76"/>
      <c r="J274" s="76"/>
      <c r="K274" s="76"/>
      <c r="L274" s="76"/>
      <c r="M274" s="76"/>
      <c r="N274" s="76"/>
      <c r="O274" s="76"/>
      <c r="P274" s="76"/>
      <c r="Q274" s="76"/>
      <c r="R274" s="76"/>
      <c r="S274" s="76"/>
      <c r="T274" s="76"/>
      <c r="U274" s="74"/>
      <c r="V274" s="74"/>
      <c r="W274" s="77"/>
      <c r="X274" s="74"/>
      <c r="Y274" s="74"/>
      <c r="Z274" s="25"/>
      <c r="AA274" s="25"/>
      <c r="AB274" s="25"/>
      <c r="AC274" s="25"/>
      <c r="AD274" s="25"/>
      <c r="AE274" s="74"/>
      <c r="AK274" s="72"/>
      <c r="AL274" s="72"/>
      <c r="BA274" s="75"/>
    </row>
    <row r="275" spans="1:53" ht="12.75" customHeight="1">
      <c r="A275" s="63" t="s">
        <v>137</v>
      </c>
      <c r="B275" s="63"/>
      <c r="C275" s="63" t="s">
        <v>202</v>
      </c>
      <c r="D275" s="8"/>
      <c r="E275" s="8"/>
      <c r="F275" s="8"/>
      <c r="G275" s="8"/>
      <c r="H275" s="8"/>
      <c r="I275" s="8"/>
      <c r="J275" s="8"/>
      <c r="K275" s="8"/>
      <c r="L275" s="8"/>
      <c r="M275" s="8"/>
      <c r="N275" s="8"/>
      <c r="O275" s="8"/>
      <c r="P275" s="8"/>
      <c r="Q275" s="8"/>
      <c r="R275" s="8"/>
      <c r="S275" s="8"/>
      <c r="T275" s="8"/>
      <c r="BA275" s="75"/>
    </row>
    <row r="276" spans="1:53" ht="14.1" customHeight="1">
      <c r="D276" s="71" t="s">
        <v>296</v>
      </c>
      <c r="E276" s="71"/>
      <c r="F276" s="71"/>
      <c r="G276" s="71"/>
      <c r="H276" s="71"/>
      <c r="I276" s="71"/>
      <c r="J276" s="71"/>
      <c r="K276" s="8"/>
      <c r="L276" s="2077" t="s">
        <v>2328</v>
      </c>
      <c r="M276" s="2071"/>
      <c r="N276" s="2071"/>
      <c r="O276" s="2071"/>
      <c r="P276" s="2071"/>
      <c r="Q276" s="2071"/>
      <c r="R276" s="2071"/>
      <c r="S276" s="2071"/>
      <c r="T276" s="2071"/>
      <c r="U276" s="2071"/>
      <c r="V276" s="2071"/>
      <c r="W276" s="2071"/>
      <c r="X276" s="2071"/>
      <c r="Y276" s="2071"/>
      <c r="Z276" s="2071"/>
      <c r="AA276" s="2071"/>
      <c r="AB276" s="2071"/>
      <c r="AC276" s="2071"/>
      <c r="AD276" s="2071"/>
      <c r="AE276" s="2071"/>
      <c r="AF276" s="2071"/>
      <c r="AG276" s="2071"/>
      <c r="AH276" s="2071"/>
      <c r="AI276" s="2071"/>
      <c r="AJ276" s="2071"/>
      <c r="AK276" s="72"/>
      <c r="AL276" s="72"/>
      <c r="BA276" s="75"/>
    </row>
    <row r="277" spans="1:53" ht="12.75" customHeight="1">
      <c r="D277" s="71" t="s">
        <v>416</v>
      </c>
      <c r="E277" s="71"/>
      <c r="F277" s="71"/>
      <c r="G277" s="71"/>
      <c r="H277" s="71"/>
      <c r="I277" s="71"/>
      <c r="J277" s="71"/>
      <c r="K277" s="8"/>
      <c r="L277" s="1787" t="s">
        <v>2342</v>
      </c>
      <c r="M277" s="2070"/>
      <c r="N277" s="2070"/>
      <c r="O277" s="2070"/>
      <c r="P277" s="2070"/>
      <c r="Q277" s="2070"/>
      <c r="R277" s="2070"/>
      <c r="S277" s="2070"/>
      <c r="T277" s="2070"/>
      <c r="U277" s="2070"/>
      <c r="V277" s="2070"/>
      <c r="W277" s="2070"/>
      <c r="X277" s="2070"/>
      <c r="Y277" s="2070"/>
      <c r="Z277" s="2070"/>
      <c r="AA277" s="2070"/>
      <c r="AB277" s="2070"/>
      <c r="AC277" s="2070"/>
      <c r="AD277" s="2070"/>
      <c r="AK277" s="72"/>
      <c r="AL277" s="72"/>
      <c r="BA277" s="75"/>
    </row>
    <row r="278" spans="1:53" ht="13.2">
      <c r="D278" s="71" t="s">
        <v>479</v>
      </c>
      <c r="E278" s="71"/>
      <c r="L278" s="1787" t="s">
        <v>439</v>
      </c>
      <c r="M278" s="2070"/>
      <c r="N278" s="2070"/>
      <c r="O278" s="2070"/>
      <c r="P278" s="2070"/>
      <c r="Q278" s="2070"/>
      <c r="R278" s="2070"/>
      <c r="S278" s="2070"/>
      <c r="U278" s="73" t="s">
        <v>417</v>
      </c>
      <c r="V278" s="1797" t="s">
        <v>2343</v>
      </c>
      <c r="W278" s="1785"/>
      <c r="X278" s="71" t="s">
        <v>482</v>
      </c>
      <c r="AB278" s="2070">
        <v>93721</v>
      </c>
      <c r="AC278" s="2070"/>
      <c r="AD278" s="2070"/>
      <c r="AK278" s="72"/>
      <c r="AL278" s="72"/>
      <c r="BA278" s="75"/>
    </row>
    <row r="279" spans="1:53" ht="13.2">
      <c r="D279" s="74" t="s">
        <v>418</v>
      </c>
      <c r="E279" s="8"/>
      <c r="F279" s="8"/>
      <c r="G279" s="8"/>
      <c r="H279" s="8"/>
      <c r="I279" s="8"/>
      <c r="J279" s="8"/>
      <c r="K279" s="39"/>
      <c r="L279" s="1787" t="s">
        <v>2506</v>
      </c>
      <c r="M279" s="2070"/>
      <c r="N279" s="2070"/>
      <c r="O279" s="2070"/>
      <c r="P279" s="2070"/>
      <c r="Q279" s="2070"/>
      <c r="R279" s="2070"/>
      <c r="S279" s="2070"/>
      <c r="T279" s="2070"/>
      <c r="U279" s="2070"/>
      <c r="V279" s="2070"/>
      <c r="W279" s="2070"/>
      <c r="X279" s="2070"/>
      <c r="Y279" s="2070"/>
      <c r="Z279" s="2070"/>
      <c r="AA279" s="2070"/>
      <c r="AB279" s="2070"/>
      <c r="AC279" s="2070"/>
      <c r="AD279" s="2070"/>
      <c r="AI279" s="8"/>
      <c r="AJ279" s="8"/>
      <c r="AK279" s="72"/>
      <c r="AL279" s="72"/>
      <c r="BA279" s="75"/>
    </row>
    <row r="280" spans="1:53" ht="13.2">
      <c r="D280" s="74" t="s">
        <v>419</v>
      </c>
      <c r="E280" s="8"/>
      <c r="F280" s="8"/>
      <c r="L280" s="1789" t="s">
        <v>2510</v>
      </c>
      <c r="M280" s="1790"/>
      <c r="N280" s="1790"/>
      <c r="O280" s="1790"/>
      <c r="P280" s="1790"/>
      <c r="Q280" s="1790"/>
      <c r="R280" s="8" t="s">
        <v>900</v>
      </c>
      <c r="S280" s="8"/>
      <c r="T280" s="1785"/>
      <c r="U280" s="1785"/>
      <c r="V280" s="1785"/>
      <c r="W280" s="8" t="s">
        <v>420</v>
      </c>
      <c r="Y280" s="1789" t="s">
        <v>2344</v>
      </c>
      <c r="Z280" s="1790"/>
      <c r="AA280" s="1790"/>
      <c r="AB280" s="1790"/>
      <c r="AC280" s="1790"/>
      <c r="AD280" s="1790"/>
      <c r="BA280" s="75"/>
    </row>
    <row r="281" spans="1:53" ht="13.2">
      <c r="D281" s="74" t="s">
        <v>421</v>
      </c>
      <c r="E281" s="8"/>
      <c r="F281" s="8"/>
      <c r="L281" s="2069" t="s">
        <v>2507</v>
      </c>
      <c r="M281" s="2069"/>
      <c r="N281" s="2069"/>
      <c r="O281" s="2069"/>
      <c r="P281" s="2069"/>
      <c r="Q281" s="2069"/>
      <c r="R281" s="2069"/>
      <c r="S281" s="2069"/>
      <c r="T281" s="2069"/>
      <c r="U281" s="2069"/>
      <c r="V281" s="2069"/>
      <c r="W281" s="2069"/>
      <c r="X281" s="2069"/>
      <c r="Y281" s="2069"/>
      <c r="Z281" s="2069"/>
      <c r="AA281" s="2069"/>
      <c r="AB281" s="2069"/>
      <c r="AC281" s="2069"/>
      <c r="AD281" s="2069"/>
      <c r="AF281" s="8"/>
      <c r="AG281" s="8"/>
      <c r="AH281" s="8"/>
      <c r="AI281" s="8"/>
      <c r="AJ281" s="8"/>
      <c r="BA281" s="75"/>
    </row>
    <row r="282" spans="1:53" ht="13.2">
      <c r="D282" s="72" t="s">
        <v>203</v>
      </c>
      <c r="E282" s="72"/>
      <c r="F282" s="72"/>
      <c r="G282" s="72"/>
      <c r="H282" s="72"/>
      <c r="I282" s="72"/>
      <c r="L282" s="1797" t="s">
        <v>2348</v>
      </c>
      <c r="M282" s="1797"/>
      <c r="N282" s="1797"/>
      <c r="O282" s="1797"/>
      <c r="P282" s="1797"/>
      <c r="Q282" s="1797"/>
      <c r="R282" s="1797"/>
      <c r="S282" s="1797"/>
      <c r="T282" s="1797"/>
      <c r="U282" s="1797"/>
      <c r="V282" s="1797"/>
      <c r="W282" s="1797"/>
      <c r="X282" s="1797"/>
      <c r="Y282" s="1797"/>
      <c r="Z282" s="1797"/>
      <c r="AA282" s="1797"/>
      <c r="AB282" s="1797"/>
      <c r="AC282" s="1797"/>
      <c r="AD282" s="1797"/>
      <c r="AK282" s="72"/>
      <c r="AL282" s="72"/>
      <c r="BA282" s="75"/>
    </row>
    <row r="283" spans="1:53" ht="13.2">
      <c r="L283" s="46" t="s">
        <v>204</v>
      </c>
      <c r="BA283" s="75"/>
    </row>
    <row r="284" spans="1:53" ht="13.2">
      <c r="A284" s="2091" t="s">
        <v>545</v>
      </c>
      <c r="B284" s="2091"/>
      <c r="C284" s="2091"/>
      <c r="D284" s="2091"/>
      <c r="E284" s="2091"/>
      <c r="F284" s="2091"/>
      <c r="G284" s="2091"/>
      <c r="H284" s="2091"/>
      <c r="I284" s="2091"/>
      <c r="J284" s="2091"/>
      <c r="K284" s="2091"/>
      <c r="L284" s="2091"/>
      <c r="M284" s="2091"/>
      <c r="N284" s="2091"/>
      <c r="O284" s="2091"/>
      <c r="P284" s="2091"/>
      <c r="Q284" s="2091"/>
      <c r="R284" s="2091"/>
      <c r="S284" s="2091"/>
      <c r="T284" s="2091"/>
      <c r="U284" s="2091"/>
      <c r="V284" s="2091"/>
      <c r="W284" s="2091"/>
      <c r="X284" s="2091"/>
      <c r="Y284" s="2091"/>
      <c r="Z284" s="2091"/>
      <c r="AA284" s="2091"/>
      <c r="AB284" s="2091"/>
      <c r="AC284" s="2091"/>
      <c r="AD284" s="2091"/>
      <c r="AE284" s="2091"/>
      <c r="AF284" s="2091"/>
      <c r="AG284" s="2091"/>
      <c r="AH284" s="2091"/>
      <c r="AI284" s="2091"/>
      <c r="AJ284" s="2091"/>
      <c r="AK284" s="2091"/>
      <c r="AL284" s="2091"/>
      <c r="BA284" s="75"/>
    </row>
    <row r="285" spans="1:53" ht="13.8" thickBot="1">
      <c r="A285" s="2092"/>
      <c r="B285" s="2092"/>
      <c r="C285" s="2092"/>
      <c r="D285" s="2092"/>
      <c r="E285" s="2092"/>
      <c r="F285" s="2092"/>
      <c r="G285" s="2092"/>
      <c r="H285" s="2092"/>
      <c r="I285" s="2092"/>
      <c r="J285" s="2092"/>
      <c r="K285" s="2092"/>
      <c r="L285" s="2092"/>
      <c r="M285" s="2092"/>
      <c r="N285" s="2092"/>
      <c r="O285" s="2092"/>
      <c r="P285" s="2092"/>
      <c r="Q285" s="2092"/>
      <c r="R285" s="2092"/>
      <c r="S285" s="2092"/>
      <c r="T285" s="2092"/>
      <c r="U285" s="2092"/>
      <c r="V285" s="2092"/>
      <c r="W285" s="2092"/>
      <c r="X285" s="2092"/>
      <c r="Y285" s="2092"/>
      <c r="Z285" s="2092"/>
      <c r="AA285" s="2092"/>
      <c r="AB285" s="2092"/>
      <c r="AC285" s="2092"/>
      <c r="AD285" s="2092"/>
      <c r="AE285" s="2092"/>
      <c r="AF285" s="2092"/>
      <c r="AG285" s="2092"/>
      <c r="AH285" s="2092"/>
      <c r="AI285" s="2092"/>
      <c r="AJ285" s="2092"/>
      <c r="AK285" s="2092"/>
      <c r="AL285" s="2092"/>
      <c r="BA285" s="75"/>
    </row>
    <row r="286" spans="1:53" ht="13.8" thickTop="1">
      <c r="A286" s="35"/>
      <c r="B286" s="35"/>
      <c r="C286" s="35"/>
      <c r="D286" s="35"/>
      <c r="E286" s="35"/>
      <c r="F286" s="35"/>
      <c r="G286" s="3"/>
      <c r="H286" s="35"/>
      <c r="I286" s="80"/>
      <c r="J286" s="80"/>
      <c r="K286" s="80"/>
      <c r="L286" s="80"/>
      <c r="M286" s="80"/>
      <c r="N286" s="80"/>
      <c r="O286" s="80"/>
      <c r="P286" s="80"/>
      <c r="Q286" s="80"/>
      <c r="R286" s="80"/>
      <c r="S286" s="80"/>
      <c r="T286" s="80"/>
      <c r="U286" s="80"/>
      <c r="V286" s="80"/>
      <c r="W286" s="80"/>
      <c r="X286" s="80"/>
      <c r="Y286" s="80"/>
      <c r="Z286" s="80"/>
      <c r="AA286" s="80"/>
      <c r="AB286" s="80"/>
      <c r="AC286" s="80"/>
      <c r="AD286" s="80"/>
      <c r="AE286" s="80"/>
      <c r="AF286" s="80"/>
      <c r="AG286" s="80"/>
      <c r="AH286" s="80"/>
      <c r="AI286" s="80"/>
      <c r="AJ286" s="80"/>
      <c r="AK286" s="74"/>
      <c r="AL286" s="80"/>
      <c r="BA286" s="75"/>
    </row>
    <row r="287" spans="1:53" ht="13.2">
      <c r="A287" s="63" t="s">
        <v>719</v>
      </c>
      <c r="C287" s="63" t="s">
        <v>205</v>
      </c>
      <c r="D287" s="72"/>
      <c r="E287" s="72"/>
      <c r="F287" s="72"/>
      <c r="G287" s="72"/>
      <c r="H287" s="72"/>
      <c r="I287" s="72"/>
      <c r="J287" s="72"/>
      <c r="K287" s="72"/>
      <c r="L287" s="72"/>
      <c r="M287" s="72"/>
      <c r="N287" s="72"/>
      <c r="O287" s="72"/>
      <c r="P287" s="72"/>
      <c r="Q287" s="72"/>
      <c r="R287" s="72"/>
      <c r="S287" s="72"/>
      <c r="T287" s="72"/>
      <c r="U287" s="72"/>
      <c r="V287" s="72"/>
      <c r="W287" s="72"/>
      <c r="X287" s="72"/>
      <c r="Y287" s="72"/>
      <c r="Z287" s="72"/>
      <c r="AA287" s="72"/>
      <c r="AB287" s="72"/>
      <c r="AC287" s="72"/>
      <c r="AD287" s="72"/>
      <c r="AE287" s="72"/>
      <c r="AF287" s="72"/>
      <c r="AG287" s="72"/>
      <c r="AH287" s="72"/>
      <c r="AI287" s="72"/>
      <c r="AJ287" s="72"/>
      <c r="AK287" s="72"/>
      <c r="BA287" s="75"/>
    </row>
    <row r="288" spans="1:53" ht="13.2">
      <c r="B288" s="72"/>
      <c r="C288" s="72"/>
      <c r="D288" s="72"/>
      <c r="E288" s="72"/>
      <c r="F288" s="72"/>
      <c r="G288" s="72"/>
      <c r="H288" s="72"/>
      <c r="I288" s="72"/>
      <c r="J288" s="72"/>
      <c r="K288" s="72"/>
      <c r="L288" s="72"/>
      <c r="M288" s="72"/>
      <c r="N288" s="72"/>
      <c r="O288" s="72"/>
      <c r="P288" s="72"/>
      <c r="Q288" s="72"/>
      <c r="R288" s="72"/>
      <c r="S288" s="72"/>
      <c r="T288" s="72"/>
      <c r="U288" s="72"/>
      <c r="V288" s="72"/>
      <c r="W288" s="72"/>
      <c r="X288" s="72"/>
      <c r="Y288" s="72"/>
      <c r="Z288" s="72"/>
      <c r="AA288" s="72"/>
      <c r="AB288" s="72"/>
      <c r="AC288" s="72"/>
      <c r="AD288" s="72"/>
      <c r="AE288" s="72"/>
      <c r="AF288" s="72"/>
      <c r="AG288" s="72"/>
      <c r="AH288" s="72"/>
      <c r="AI288" s="72"/>
      <c r="AJ288" s="72"/>
      <c r="AK288" s="72"/>
      <c r="BA288" s="75"/>
    </row>
    <row r="289" spans="2:53" ht="12.75" customHeight="1">
      <c r="B289" s="72" t="s">
        <v>206</v>
      </c>
      <c r="C289" s="72"/>
      <c r="D289" s="72"/>
      <c r="E289" s="72"/>
      <c r="F289" s="72"/>
      <c r="H289" s="1787" t="s">
        <v>2328</v>
      </c>
      <c r="I289" s="1788"/>
      <c r="J289" s="1788"/>
      <c r="K289" s="1788"/>
      <c r="L289" s="1788"/>
      <c r="M289" s="1788"/>
      <c r="N289" s="1788"/>
      <c r="O289" s="1788"/>
      <c r="P289" s="1788"/>
      <c r="Q289" s="1788"/>
      <c r="R289" s="1788"/>
      <c r="T289" s="72" t="s">
        <v>813</v>
      </c>
      <c r="V289" s="72"/>
      <c r="W289" s="72"/>
      <c r="X289" s="72"/>
      <c r="Y289" s="72"/>
      <c r="AA289" s="1787" t="s">
        <v>2350</v>
      </c>
      <c r="AB289" s="1788"/>
      <c r="AC289" s="1788"/>
      <c r="AD289" s="1788"/>
      <c r="AE289" s="1788"/>
      <c r="AF289" s="1788"/>
      <c r="AG289" s="1788"/>
      <c r="AH289" s="1788"/>
      <c r="AI289" s="1788"/>
      <c r="AJ289" s="1788"/>
      <c r="AK289" s="1788"/>
      <c r="BA289" s="75"/>
    </row>
    <row r="290" spans="2:53" ht="13.2">
      <c r="B290" s="72" t="s">
        <v>765</v>
      </c>
      <c r="C290" s="72"/>
      <c r="D290" s="72"/>
      <c r="E290" s="72"/>
      <c r="F290" s="72"/>
      <c r="H290" s="1797" t="s">
        <v>2342</v>
      </c>
      <c r="I290" s="1796"/>
      <c r="J290" s="1796"/>
      <c r="K290" s="1796"/>
      <c r="L290" s="1796"/>
      <c r="M290" s="1796"/>
      <c r="N290" s="1796"/>
      <c r="O290" s="1796"/>
      <c r="P290" s="1796"/>
      <c r="Q290" s="1796"/>
      <c r="R290" s="1796"/>
      <c r="T290" s="72" t="s">
        <v>765</v>
      </c>
      <c r="V290" s="72"/>
      <c r="W290" s="72"/>
      <c r="X290" s="72"/>
      <c r="Y290" s="72"/>
      <c r="AA290" s="1797" t="s">
        <v>2351</v>
      </c>
      <c r="AB290" s="1796"/>
      <c r="AC290" s="1796"/>
      <c r="AD290" s="1796"/>
      <c r="AE290" s="1796"/>
      <c r="AF290" s="1796"/>
      <c r="AG290" s="1796"/>
      <c r="AH290" s="1796"/>
      <c r="AI290" s="1796"/>
      <c r="AJ290" s="1796"/>
      <c r="AK290" s="1796"/>
      <c r="BA290" s="75"/>
    </row>
    <row r="291" spans="2:53" ht="13.2">
      <c r="B291" s="72" t="s">
        <v>767</v>
      </c>
      <c r="C291" s="72"/>
      <c r="D291" s="72"/>
      <c r="E291" s="72"/>
      <c r="F291" s="72"/>
      <c r="H291" s="1797" t="s">
        <v>2349</v>
      </c>
      <c r="I291" s="1796"/>
      <c r="J291" s="1796"/>
      <c r="K291" s="1796"/>
      <c r="L291" s="1796"/>
      <c r="M291" s="1796"/>
      <c r="N291" s="1796"/>
      <c r="O291" s="1796"/>
      <c r="P291" s="1796"/>
      <c r="Q291" s="1796"/>
      <c r="R291" s="1796"/>
      <c r="T291" s="72" t="s">
        <v>766</v>
      </c>
      <c r="V291" s="72"/>
      <c r="W291" s="72"/>
      <c r="X291" s="72"/>
      <c r="Y291" s="72"/>
      <c r="AA291" s="1797" t="s">
        <v>2352</v>
      </c>
      <c r="AB291" s="1796"/>
      <c r="AC291" s="1796"/>
      <c r="AD291" s="1796"/>
      <c r="AE291" s="1796"/>
      <c r="AF291" s="1796"/>
      <c r="AG291" s="1796"/>
      <c r="AH291" s="1796"/>
      <c r="AI291" s="1796"/>
      <c r="AJ291" s="1796"/>
      <c r="AK291" s="1796"/>
      <c r="BA291" s="75"/>
    </row>
    <row r="292" spans="2:53" ht="13.2">
      <c r="B292" s="72" t="s">
        <v>418</v>
      </c>
      <c r="C292" s="72"/>
      <c r="D292" s="72"/>
      <c r="E292" s="72"/>
      <c r="F292" s="72"/>
      <c r="H292" s="1797" t="s">
        <v>2506</v>
      </c>
      <c r="I292" s="1796"/>
      <c r="J292" s="1796"/>
      <c r="K292" s="1796"/>
      <c r="L292" s="1796"/>
      <c r="M292" s="1796"/>
      <c r="N292" s="1796"/>
      <c r="O292" s="1796"/>
      <c r="P292" s="1796"/>
      <c r="Q292" s="1796"/>
      <c r="R292" s="1796"/>
      <c r="T292" s="72" t="s">
        <v>418</v>
      </c>
      <c r="V292" s="72"/>
      <c r="W292" s="72"/>
      <c r="X292" s="72"/>
      <c r="Y292" s="72"/>
      <c r="AA292" s="1797" t="s">
        <v>2353</v>
      </c>
      <c r="AB292" s="1796"/>
      <c r="AC292" s="1796"/>
      <c r="AD292" s="1796"/>
      <c r="AE292" s="1796"/>
      <c r="AF292" s="1796"/>
      <c r="AG292" s="1796"/>
      <c r="AH292" s="1796"/>
      <c r="AI292" s="1796"/>
      <c r="AJ292" s="1796"/>
      <c r="AK292" s="1796"/>
      <c r="BA292" s="75"/>
    </row>
    <row r="293" spans="2:53" ht="12.75" customHeight="1">
      <c r="B293" s="72" t="s">
        <v>419</v>
      </c>
      <c r="C293" s="72"/>
      <c r="D293" s="72"/>
      <c r="E293" s="72"/>
      <c r="F293" s="72"/>
      <c r="G293" s="72"/>
      <c r="H293" s="1898" t="s">
        <v>2510</v>
      </c>
      <c r="I293" s="2072"/>
      <c r="J293" s="2072"/>
      <c r="K293" s="2072"/>
      <c r="L293" s="2072"/>
      <c r="M293" s="2072"/>
      <c r="N293" s="8" t="s">
        <v>900</v>
      </c>
      <c r="O293" s="8"/>
      <c r="P293" s="2070"/>
      <c r="Q293" s="2070"/>
      <c r="R293" s="2070"/>
      <c r="S293" s="72"/>
      <c r="T293" s="72" t="s">
        <v>419</v>
      </c>
      <c r="V293" s="72"/>
      <c r="W293" s="72"/>
      <c r="X293" s="72"/>
      <c r="Y293" s="72"/>
      <c r="AA293" s="1898" t="s">
        <v>2354</v>
      </c>
      <c r="AB293" s="2072"/>
      <c r="AC293" s="2072"/>
      <c r="AD293" s="2072"/>
      <c r="AE293" s="2072"/>
      <c r="AF293" s="2072"/>
      <c r="AG293" s="8" t="s">
        <v>900</v>
      </c>
      <c r="AH293" s="8"/>
      <c r="AI293" s="2070"/>
      <c r="AJ293" s="2070"/>
      <c r="AK293" s="2070"/>
      <c r="BA293" s="75"/>
    </row>
    <row r="294" spans="2:53" ht="13.2">
      <c r="B294" s="72" t="s">
        <v>420</v>
      </c>
      <c r="C294" s="72"/>
      <c r="D294" s="72"/>
      <c r="E294" s="72"/>
      <c r="F294" s="72"/>
      <c r="G294" s="72"/>
      <c r="H294" s="1789" t="s">
        <v>2344</v>
      </c>
      <c r="I294" s="1790"/>
      <c r="J294" s="1790"/>
      <c r="K294" s="1790"/>
      <c r="L294" s="1790"/>
      <c r="M294" s="1790"/>
      <c r="N294" s="74"/>
      <c r="O294" s="74"/>
      <c r="P294" s="76"/>
      <c r="Q294" s="76"/>
      <c r="R294" s="76"/>
      <c r="S294" s="72"/>
      <c r="T294" s="72" t="s">
        <v>420</v>
      </c>
      <c r="V294" s="72"/>
      <c r="W294" s="72"/>
      <c r="X294" s="72"/>
      <c r="Y294" s="72"/>
      <c r="AA294" s="1790"/>
      <c r="AB294" s="1790"/>
      <c r="AC294" s="1790"/>
      <c r="AD294" s="1790"/>
      <c r="AE294" s="1790"/>
      <c r="AF294" s="1790"/>
      <c r="AG294" s="74"/>
      <c r="AH294" s="74"/>
      <c r="AI294" s="76"/>
      <c r="AJ294" s="76"/>
      <c r="AK294" s="76"/>
      <c r="BA294" s="75"/>
    </row>
    <row r="295" spans="2:53" ht="13.2">
      <c r="B295" s="72" t="s">
        <v>768</v>
      </c>
      <c r="C295" s="72"/>
      <c r="D295" s="72"/>
      <c r="E295" s="72"/>
      <c r="F295" s="72"/>
      <c r="G295" s="72"/>
      <c r="H295" s="1797" t="s">
        <v>2507</v>
      </c>
      <c r="I295" s="1796"/>
      <c r="J295" s="1796"/>
      <c r="K295" s="1796"/>
      <c r="L295" s="1796"/>
      <c r="M295" s="1796"/>
      <c r="N295" s="1788"/>
      <c r="O295" s="1788"/>
      <c r="P295" s="1788"/>
      <c r="Q295" s="1788"/>
      <c r="R295" s="1788"/>
      <c r="S295" s="72"/>
      <c r="T295" s="72" t="s">
        <v>768</v>
      </c>
      <c r="V295" s="72"/>
      <c r="W295" s="72"/>
      <c r="X295" s="72"/>
      <c r="Y295" s="72"/>
      <c r="AA295" s="1797" t="s">
        <v>2355</v>
      </c>
      <c r="AB295" s="1796"/>
      <c r="AC295" s="1796"/>
      <c r="AD295" s="1796"/>
      <c r="AE295" s="1796"/>
      <c r="AF295" s="1796"/>
      <c r="AG295" s="1788"/>
      <c r="AH295" s="1788"/>
      <c r="AI295" s="1788"/>
      <c r="AJ295" s="1788"/>
      <c r="AK295" s="1788"/>
      <c r="BA295" s="75"/>
    </row>
    <row r="296" spans="2:53" ht="13.2">
      <c r="B296" s="72"/>
      <c r="C296" s="72"/>
      <c r="D296" s="72"/>
      <c r="E296" s="72"/>
      <c r="F296" s="72"/>
      <c r="G296" s="72"/>
      <c r="H296" s="72"/>
      <c r="I296" s="72"/>
      <c r="J296" s="72"/>
      <c r="K296" s="72"/>
      <c r="L296" s="72"/>
      <c r="M296" s="72"/>
      <c r="N296" s="72"/>
      <c r="O296" s="72"/>
      <c r="P296" s="72"/>
      <c r="Q296" s="72"/>
      <c r="R296" s="72"/>
      <c r="S296" s="72"/>
      <c r="T296" s="72"/>
      <c r="V296" s="72"/>
      <c r="W296" s="72"/>
      <c r="X296" s="72"/>
      <c r="Y296" s="72"/>
      <c r="AA296" s="72"/>
      <c r="AB296" s="72"/>
      <c r="AC296" s="72"/>
      <c r="AD296" s="72"/>
      <c r="AE296" s="72"/>
      <c r="AF296" s="72"/>
      <c r="AG296" s="72"/>
      <c r="AH296" s="72"/>
      <c r="AI296" s="72"/>
      <c r="AJ296" s="72"/>
      <c r="AK296" s="72"/>
      <c r="BA296" s="75"/>
    </row>
    <row r="297" spans="2:53" ht="13.2">
      <c r="B297" s="72" t="s">
        <v>488</v>
      </c>
      <c r="C297" s="72"/>
      <c r="D297" s="72"/>
      <c r="E297" s="72"/>
      <c r="F297" s="72"/>
      <c r="H297" s="1787" t="s">
        <v>2356</v>
      </c>
      <c r="I297" s="1788"/>
      <c r="J297" s="1788"/>
      <c r="K297" s="1788"/>
      <c r="L297" s="1788"/>
      <c r="M297" s="1788"/>
      <c r="N297" s="1788"/>
      <c r="O297" s="1788"/>
      <c r="P297" s="1788"/>
      <c r="Q297" s="1788"/>
      <c r="R297" s="1788"/>
      <c r="T297" s="72" t="s">
        <v>40</v>
      </c>
      <c r="V297" s="72"/>
      <c r="W297" s="72"/>
      <c r="X297" s="72"/>
      <c r="Y297" s="72"/>
      <c r="AA297" s="1787" t="s">
        <v>2363</v>
      </c>
      <c r="AB297" s="1788"/>
      <c r="AC297" s="1788"/>
      <c r="AD297" s="1788"/>
      <c r="AE297" s="1788"/>
      <c r="AF297" s="1788"/>
      <c r="AG297" s="1788"/>
      <c r="AH297" s="1788"/>
      <c r="AI297" s="1788"/>
      <c r="AJ297" s="1788"/>
      <c r="AK297" s="1788"/>
      <c r="BA297" s="75"/>
    </row>
    <row r="298" spans="2:53" ht="13.2">
      <c r="B298" s="72" t="s">
        <v>765</v>
      </c>
      <c r="C298" s="72"/>
      <c r="D298" s="72"/>
      <c r="E298" s="72"/>
      <c r="F298" s="72"/>
      <c r="H298" s="1797" t="s">
        <v>2357</v>
      </c>
      <c r="I298" s="1796"/>
      <c r="J298" s="1796"/>
      <c r="K298" s="1796"/>
      <c r="L298" s="1796"/>
      <c r="M298" s="1796"/>
      <c r="N298" s="1796"/>
      <c r="O298" s="1796"/>
      <c r="P298" s="1796"/>
      <c r="Q298" s="1796"/>
      <c r="R298" s="1796"/>
      <c r="T298" s="72" t="s">
        <v>765</v>
      </c>
      <c r="V298" s="72"/>
      <c r="W298" s="72"/>
      <c r="X298" s="72"/>
      <c r="Y298" s="72"/>
      <c r="AA298" s="1796"/>
      <c r="AB298" s="1796"/>
      <c r="AC298" s="1796"/>
      <c r="AD298" s="1796"/>
      <c r="AE298" s="1796"/>
      <c r="AF298" s="1796"/>
      <c r="AG298" s="1796"/>
      <c r="AH298" s="1796"/>
      <c r="AI298" s="1796"/>
      <c r="AJ298" s="1796"/>
      <c r="AK298" s="1796"/>
      <c r="BA298" s="75"/>
    </row>
    <row r="299" spans="2:53" ht="13.2">
      <c r="B299" s="72" t="s">
        <v>767</v>
      </c>
      <c r="C299" s="72"/>
      <c r="D299" s="72"/>
      <c r="E299" s="72"/>
      <c r="F299" s="72"/>
      <c r="H299" s="1797" t="s">
        <v>2358</v>
      </c>
      <c r="I299" s="1796"/>
      <c r="J299" s="1796"/>
      <c r="K299" s="1796"/>
      <c r="L299" s="1796"/>
      <c r="M299" s="1796"/>
      <c r="N299" s="1796"/>
      <c r="O299" s="1796"/>
      <c r="P299" s="1796"/>
      <c r="Q299" s="1796"/>
      <c r="R299" s="1796"/>
      <c r="T299" s="72" t="s">
        <v>766</v>
      </c>
      <c r="V299" s="72"/>
      <c r="W299" s="72"/>
      <c r="X299" s="72"/>
      <c r="Y299" s="72"/>
      <c r="AA299" s="1796"/>
      <c r="AB299" s="1796"/>
      <c r="AC299" s="1796"/>
      <c r="AD299" s="1796"/>
      <c r="AE299" s="1796"/>
      <c r="AF299" s="1796"/>
      <c r="AG299" s="1796"/>
      <c r="AH299" s="1796"/>
      <c r="AI299" s="1796"/>
      <c r="AJ299" s="1796"/>
      <c r="AK299" s="1796"/>
      <c r="BA299" s="75"/>
    </row>
    <row r="300" spans="2:53" ht="13.2">
      <c r="B300" s="72" t="s">
        <v>418</v>
      </c>
      <c r="C300" s="72"/>
      <c r="D300" s="72"/>
      <c r="E300" s="72"/>
      <c r="F300" s="72"/>
      <c r="H300" s="1797" t="s">
        <v>2359</v>
      </c>
      <c r="I300" s="1796"/>
      <c r="J300" s="1796"/>
      <c r="K300" s="1796"/>
      <c r="L300" s="1796"/>
      <c r="M300" s="1796"/>
      <c r="N300" s="1796"/>
      <c r="O300" s="1796"/>
      <c r="P300" s="1796"/>
      <c r="Q300" s="1796"/>
      <c r="R300" s="1796"/>
      <c r="T300" s="72" t="s">
        <v>418</v>
      </c>
      <c r="V300" s="72"/>
      <c r="W300" s="72"/>
      <c r="X300" s="72"/>
      <c r="Y300" s="72"/>
      <c r="AA300" s="1796"/>
      <c r="AB300" s="1796"/>
      <c r="AC300" s="1796"/>
      <c r="AD300" s="1796"/>
      <c r="AE300" s="1796"/>
      <c r="AF300" s="1796"/>
      <c r="AG300" s="1796"/>
      <c r="AH300" s="1796"/>
      <c r="AI300" s="1796"/>
      <c r="AJ300" s="1796"/>
      <c r="AK300" s="1796"/>
      <c r="BA300" s="75"/>
    </row>
    <row r="301" spans="2:53" ht="12.75" customHeight="1">
      <c r="B301" s="72" t="s">
        <v>419</v>
      </c>
      <c r="C301" s="72"/>
      <c r="D301" s="72"/>
      <c r="E301" s="72"/>
      <c r="F301" s="72"/>
      <c r="G301" s="72"/>
      <c r="H301" s="1898" t="s">
        <v>2360</v>
      </c>
      <c r="I301" s="2072"/>
      <c r="J301" s="2072"/>
      <c r="K301" s="2072"/>
      <c r="L301" s="2072"/>
      <c r="M301" s="2072"/>
      <c r="N301" s="8" t="s">
        <v>900</v>
      </c>
      <c r="O301" s="8"/>
      <c r="P301" s="2070"/>
      <c r="Q301" s="2070"/>
      <c r="R301" s="2070"/>
      <c r="S301" s="72"/>
      <c r="T301" s="72" t="s">
        <v>419</v>
      </c>
      <c r="V301" s="72"/>
      <c r="W301" s="72"/>
      <c r="X301" s="72"/>
      <c r="Y301" s="72"/>
      <c r="AA301" s="2072"/>
      <c r="AB301" s="2072"/>
      <c r="AC301" s="2072"/>
      <c r="AD301" s="2072"/>
      <c r="AE301" s="2072"/>
      <c r="AF301" s="2072"/>
      <c r="AG301" s="8" t="s">
        <v>900</v>
      </c>
      <c r="AH301" s="8"/>
      <c r="AI301" s="2070"/>
      <c r="AJ301" s="2070"/>
      <c r="AK301" s="2070"/>
      <c r="BA301" s="75"/>
    </row>
    <row r="302" spans="2:53" ht="13.2">
      <c r="B302" s="72" t="s">
        <v>420</v>
      </c>
      <c r="C302" s="72"/>
      <c r="D302" s="72"/>
      <c r="E302" s="72"/>
      <c r="F302" s="72"/>
      <c r="G302" s="72"/>
      <c r="H302" s="1789" t="s">
        <v>2361</v>
      </c>
      <c r="I302" s="1790"/>
      <c r="J302" s="1790"/>
      <c r="K302" s="1790"/>
      <c r="L302" s="1790"/>
      <c r="M302" s="1790"/>
      <c r="N302" s="74"/>
      <c r="O302" s="74"/>
      <c r="P302" s="76"/>
      <c r="Q302" s="76"/>
      <c r="R302" s="76"/>
      <c r="S302" s="72"/>
      <c r="T302" s="72" t="s">
        <v>420</v>
      </c>
      <c r="V302" s="72"/>
      <c r="W302" s="72"/>
      <c r="X302" s="72"/>
      <c r="Y302" s="72"/>
      <c r="AA302" s="1790"/>
      <c r="AB302" s="1790"/>
      <c r="AC302" s="1790"/>
      <c r="AD302" s="1790"/>
      <c r="AE302" s="1790"/>
      <c r="AF302" s="1790"/>
      <c r="AG302" s="74"/>
      <c r="AH302" s="74"/>
      <c r="AI302" s="76"/>
      <c r="AJ302" s="76"/>
      <c r="AK302" s="76"/>
      <c r="BA302" s="75"/>
    </row>
    <row r="303" spans="2:53" ht="13.2">
      <c r="B303" s="72" t="s">
        <v>768</v>
      </c>
      <c r="C303" s="72"/>
      <c r="D303" s="72"/>
      <c r="E303" s="72"/>
      <c r="F303" s="72"/>
      <c r="G303" s="72"/>
      <c r="H303" s="1797" t="s">
        <v>2362</v>
      </c>
      <c r="I303" s="1796"/>
      <c r="J303" s="1796"/>
      <c r="K303" s="1796"/>
      <c r="L303" s="1796"/>
      <c r="M303" s="1796"/>
      <c r="N303" s="1788"/>
      <c r="O303" s="1788"/>
      <c r="P303" s="1788"/>
      <c r="Q303" s="1788"/>
      <c r="R303" s="1788"/>
      <c r="S303" s="72"/>
      <c r="T303" s="72" t="s">
        <v>768</v>
      </c>
      <c r="V303" s="72"/>
      <c r="W303" s="72"/>
      <c r="X303" s="72"/>
      <c r="Y303" s="72"/>
      <c r="AA303" s="1796"/>
      <c r="AB303" s="1796"/>
      <c r="AC303" s="1796"/>
      <c r="AD303" s="1796"/>
      <c r="AE303" s="1796"/>
      <c r="AF303" s="1796"/>
      <c r="AG303" s="1788"/>
      <c r="AH303" s="1788"/>
      <c r="AI303" s="1788"/>
      <c r="AJ303" s="1788"/>
      <c r="AK303" s="1788"/>
      <c r="BA303" s="75"/>
    </row>
    <row r="304" spans="2:53" ht="13.2">
      <c r="BA304" s="75"/>
    </row>
    <row r="305" spans="1:53" ht="12.75" customHeight="1">
      <c r="B305" s="72" t="s">
        <v>769</v>
      </c>
      <c r="C305" s="72"/>
      <c r="D305" s="72"/>
      <c r="E305" s="72"/>
      <c r="F305" s="72"/>
      <c r="H305" s="1787" t="s">
        <v>2364</v>
      </c>
      <c r="I305" s="1788"/>
      <c r="J305" s="1788"/>
      <c r="K305" s="1788"/>
      <c r="L305" s="1788"/>
      <c r="M305" s="1788"/>
      <c r="N305" s="1788"/>
      <c r="O305" s="1788"/>
      <c r="P305" s="1788"/>
      <c r="Q305" s="1788"/>
      <c r="R305" s="1788"/>
      <c r="T305" s="8" t="s">
        <v>1224</v>
      </c>
      <c r="V305" s="72"/>
      <c r="W305" s="72"/>
      <c r="X305" s="72"/>
      <c r="Y305" s="72"/>
      <c r="AA305" s="1787" t="s">
        <v>2371</v>
      </c>
      <c r="AB305" s="1788"/>
      <c r="AC305" s="1788"/>
      <c r="AD305" s="1788"/>
      <c r="AE305" s="1788"/>
      <c r="AF305" s="1788"/>
      <c r="AG305" s="1788"/>
      <c r="AH305" s="1788"/>
      <c r="AI305" s="1788"/>
      <c r="AJ305" s="1788"/>
      <c r="AK305" s="1788"/>
      <c r="BA305" s="75"/>
    </row>
    <row r="306" spans="1:53" ht="12.75" customHeight="1">
      <c r="B306" s="72" t="s">
        <v>765</v>
      </c>
      <c r="C306" s="72"/>
      <c r="D306" s="72"/>
      <c r="E306" s="72"/>
      <c r="F306" s="72"/>
      <c r="H306" s="1797" t="s">
        <v>2365</v>
      </c>
      <c r="I306" s="1796"/>
      <c r="J306" s="1796"/>
      <c r="K306" s="1796"/>
      <c r="L306" s="1796"/>
      <c r="M306" s="1796"/>
      <c r="N306" s="1796"/>
      <c r="O306" s="1796"/>
      <c r="P306" s="1796"/>
      <c r="Q306" s="1796"/>
      <c r="R306" s="1796"/>
      <c r="T306" s="72" t="s">
        <v>765</v>
      </c>
      <c r="V306" s="72"/>
      <c r="W306" s="72"/>
      <c r="X306" s="72"/>
      <c r="Y306" s="72"/>
      <c r="AA306" s="1797" t="s">
        <v>2372</v>
      </c>
      <c r="AB306" s="1796"/>
      <c r="AC306" s="1796"/>
      <c r="AD306" s="1796"/>
      <c r="AE306" s="1796"/>
      <c r="AF306" s="1796"/>
      <c r="AG306" s="1796"/>
      <c r="AH306" s="1796"/>
      <c r="AI306" s="1796"/>
      <c r="AJ306" s="1796"/>
      <c r="AK306" s="1796"/>
      <c r="BA306" s="75"/>
    </row>
    <row r="307" spans="1:53" ht="12.75" customHeight="1">
      <c r="B307" s="72" t="s">
        <v>767</v>
      </c>
      <c r="C307" s="72"/>
      <c r="D307" s="72"/>
      <c r="E307" s="72"/>
      <c r="F307" s="72"/>
      <c r="H307" s="1797" t="s">
        <v>2366</v>
      </c>
      <c r="I307" s="1796"/>
      <c r="J307" s="1796"/>
      <c r="K307" s="1796"/>
      <c r="L307" s="1796"/>
      <c r="M307" s="1796"/>
      <c r="N307" s="1796"/>
      <c r="O307" s="1796"/>
      <c r="P307" s="1796"/>
      <c r="Q307" s="1796"/>
      <c r="R307" s="1796"/>
      <c r="T307" s="72" t="s">
        <v>766</v>
      </c>
      <c r="V307" s="72"/>
      <c r="W307" s="72"/>
      <c r="X307" s="72"/>
      <c r="Y307" s="72"/>
      <c r="AA307" s="1797" t="s">
        <v>2373</v>
      </c>
      <c r="AB307" s="1796"/>
      <c r="AC307" s="1796"/>
      <c r="AD307" s="1796"/>
      <c r="AE307" s="1796"/>
      <c r="AF307" s="1796"/>
      <c r="AG307" s="1796"/>
      <c r="AH307" s="1796"/>
      <c r="AI307" s="1796"/>
      <c r="AJ307" s="1796"/>
      <c r="AK307" s="1796"/>
      <c r="BA307" s="75"/>
    </row>
    <row r="308" spans="1:53" ht="12.75" customHeight="1">
      <c r="B308" s="72" t="s">
        <v>418</v>
      </c>
      <c r="C308" s="72"/>
      <c r="D308" s="72"/>
      <c r="E308" s="72"/>
      <c r="F308" s="72"/>
      <c r="H308" s="1797" t="s">
        <v>2367</v>
      </c>
      <c r="I308" s="1796"/>
      <c r="J308" s="1796"/>
      <c r="K308" s="1796"/>
      <c r="L308" s="1796"/>
      <c r="M308" s="1796"/>
      <c r="N308" s="1796"/>
      <c r="O308" s="1796"/>
      <c r="P308" s="1796"/>
      <c r="Q308" s="1796"/>
      <c r="R308" s="1796"/>
      <c r="T308" s="72" t="s">
        <v>418</v>
      </c>
      <c r="V308" s="72"/>
      <c r="W308" s="72"/>
      <c r="X308" s="72"/>
      <c r="Y308" s="72"/>
      <c r="AA308" s="1797" t="s">
        <v>2374</v>
      </c>
      <c r="AB308" s="1796"/>
      <c r="AC308" s="1796"/>
      <c r="AD308" s="1796"/>
      <c r="AE308" s="1796"/>
      <c r="AF308" s="1796"/>
      <c r="AG308" s="1796"/>
      <c r="AH308" s="1796"/>
      <c r="AI308" s="1796"/>
      <c r="AJ308" s="1796"/>
      <c r="AK308" s="1796"/>
      <c r="BA308" s="75"/>
    </row>
    <row r="309" spans="1:53" ht="13.2">
      <c r="B309" s="72" t="s">
        <v>419</v>
      </c>
      <c r="C309" s="72"/>
      <c r="D309" s="72"/>
      <c r="E309" s="72"/>
      <c r="F309" s="72"/>
      <c r="G309" s="72"/>
      <c r="H309" s="1898" t="s">
        <v>2368</v>
      </c>
      <c r="I309" s="2072"/>
      <c r="J309" s="2072"/>
      <c r="K309" s="2072"/>
      <c r="L309" s="2072"/>
      <c r="M309" s="2072"/>
      <c r="N309" s="8" t="s">
        <v>900</v>
      </c>
      <c r="O309" s="8"/>
      <c r="P309" s="2070"/>
      <c r="Q309" s="2070"/>
      <c r="R309" s="2070"/>
      <c r="S309" s="72"/>
      <c r="T309" s="72" t="s">
        <v>419</v>
      </c>
      <c r="V309" s="72"/>
      <c r="W309" s="72"/>
      <c r="X309" s="72"/>
      <c r="Y309" s="72"/>
      <c r="AA309" s="1898" t="s">
        <v>2375</v>
      </c>
      <c r="AB309" s="2072"/>
      <c r="AC309" s="2072"/>
      <c r="AD309" s="2072"/>
      <c r="AE309" s="2072"/>
      <c r="AF309" s="2072"/>
      <c r="AG309" s="8" t="s">
        <v>900</v>
      </c>
      <c r="AH309" s="8"/>
      <c r="AI309" s="2070"/>
      <c r="AJ309" s="2070"/>
      <c r="AK309" s="2070"/>
      <c r="BA309" s="75"/>
    </row>
    <row r="310" spans="1:53" ht="13.2">
      <c r="B310" s="72" t="s">
        <v>420</v>
      </c>
      <c r="C310" s="72"/>
      <c r="D310" s="72"/>
      <c r="E310" s="72"/>
      <c r="F310" s="72"/>
      <c r="G310" s="72"/>
      <c r="H310" s="1789" t="s">
        <v>2369</v>
      </c>
      <c r="I310" s="1790"/>
      <c r="J310" s="1790"/>
      <c r="K310" s="1790"/>
      <c r="L310" s="1790"/>
      <c r="M310" s="1790"/>
      <c r="N310" s="74"/>
      <c r="O310" s="74"/>
      <c r="P310" s="76"/>
      <c r="Q310" s="76"/>
      <c r="R310" s="76"/>
      <c r="S310" s="72"/>
      <c r="T310" s="72" t="s">
        <v>420</v>
      </c>
      <c r="V310" s="72"/>
      <c r="W310" s="72"/>
      <c r="X310" s="72"/>
      <c r="Y310" s="72"/>
      <c r="AA310" s="1789" t="s">
        <v>2376</v>
      </c>
      <c r="AB310" s="1790"/>
      <c r="AC310" s="1790"/>
      <c r="AD310" s="1790"/>
      <c r="AE310" s="1790"/>
      <c r="AF310" s="1790"/>
      <c r="AG310" s="74"/>
      <c r="AH310" s="74"/>
      <c r="AI310" s="76"/>
      <c r="AJ310" s="76"/>
      <c r="AK310" s="76"/>
      <c r="BA310" s="75"/>
    </row>
    <row r="311" spans="1:53" ht="13.2">
      <c r="B311" s="72" t="s">
        <v>768</v>
      </c>
      <c r="C311" s="72"/>
      <c r="D311" s="72"/>
      <c r="E311" s="72"/>
      <c r="F311" s="72"/>
      <c r="G311" s="72"/>
      <c r="H311" s="1797" t="s">
        <v>2370</v>
      </c>
      <c r="I311" s="1796"/>
      <c r="J311" s="1796"/>
      <c r="K311" s="1796"/>
      <c r="L311" s="1796"/>
      <c r="M311" s="1796"/>
      <c r="N311" s="1788"/>
      <c r="O311" s="1788"/>
      <c r="P311" s="1788"/>
      <c r="Q311" s="1788"/>
      <c r="R311" s="1788"/>
      <c r="S311" s="72"/>
      <c r="T311" s="72" t="s">
        <v>768</v>
      </c>
      <c r="V311" s="72"/>
      <c r="W311" s="72"/>
      <c r="X311" s="72"/>
      <c r="Y311" s="72"/>
      <c r="AA311" s="1797" t="s">
        <v>2377</v>
      </c>
      <c r="AB311" s="1796"/>
      <c r="AC311" s="1796"/>
      <c r="AD311" s="1796"/>
      <c r="AE311" s="1796"/>
      <c r="AF311" s="1796"/>
      <c r="AG311" s="1788"/>
      <c r="AH311" s="1788"/>
      <c r="AI311" s="1788"/>
      <c r="AJ311" s="1788"/>
      <c r="AK311" s="1788"/>
      <c r="BA311" s="75"/>
    </row>
    <row r="312" spans="1:53" ht="13.2">
      <c r="BA312" s="75"/>
    </row>
    <row r="313" spans="1:53" ht="13.2">
      <c r="B313" s="8" t="s">
        <v>1269</v>
      </c>
      <c r="C313" s="72"/>
      <c r="D313" s="72"/>
      <c r="E313" s="72"/>
      <c r="F313" s="72"/>
      <c r="H313" s="1787" t="s">
        <v>2364</v>
      </c>
      <c r="I313" s="1788"/>
      <c r="J313" s="1788"/>
      <c r="K313" s="1788"/>
      <c r="L313" s="1788"/>
      <c r="M313" s="1788"/>
      <c r="N313" s="1788"/>
      <c r="O313" s="1788"/>
      <c r="P313" s="1788"/>
      <c r="Q313" s="1788"/>
      <c r="R313" s="1788"/>
      <c r="T313" s="72" t="s">
        <v>41</v>
      </c>
      <c r="V313" s="72"/>
      <c r="W313" s="72"/>
      <c r="X313" s="72"/>
      <c r="Y313" s="72"/>
      <c r="AA313" s="1787" t="s">
        <v>2378</v>
      </c>
      <c r="AB313" s="1788"/>
      <c r="AC313" s="1788"/>
      <c r="AD313" s="1788"/>
      <c r="AE313" s="1788"/>
      <c r="AF313" s="1788"/>
      <c r="AG313" s="1788"/>
      <c r="AH313" s="1788"/>
      <c r="AI313" s="1788"/>
      <c r="AJ313" s="1788"/>
      <c r="AK313" s="1788"/>
      <c r="BA313" s="75"/>
    </row>
    <row r="314" spans="1:53" ht="13.2">
      <c r="B314" s="72" t="s">
        <v>765</v>
      </c>
      <c r="C314" s="72"/>
      <c r="D314" s="72"/>
      <c r="E314" s="72"/>
      <c r="F314" s="72"/>
      <c r="H314" s="1796" t="s">
        <v>2365</v>
      </c>
      <c r="I314" s="1796"/>
      <c r="J314" s="1796"/>
      <c r="K314" s="1796"/>
      <c r="L314" s="1796"/>
      <c r="M314" s="1796"/>
      <c r="N314" s="1796"/>
      <c r="O314" s="1796"/>
      <c r="P314" s="1796"/>
      <c r="Q314" s="1796"/>
      <c r="R314" s="1796"/>
      <c r="T314" s="72" t="s">
        <v>765</v>
      </c>
      <c r="V314" s="72"/>
      <c r="W314" s="72"/>
      <c r="X314" s="72"/>
      <c r="Y314" s="72"/>
      <c r="AA314" s="1797" t="s">
        <v>2379</v>
      </c>
      <c r="AB314" s="1796"/>
      <c r="AC314" s="1796"/>
      <c r="AD314" s="1796"/>
      <c r="AE314" s="1796"/>
      <c r="AF314" s="1796"/>
      <c r="AG314" s="1796"/>
      <c r="AH314" s="1796"/>
      <c r="AI314" s="1796"/>
      <c r="AJ314" s="1796"/>
      <c r="AK314" s="1796"/>
      <c r="BA314" s="75"/>
    </row>
    <row r="315" spans="1:53" ht="12.75" customHeight="1">
      <c r="B315" s="72" t="s">
        <v>767</v>
      </c>
      <c r="C315" s="72"/>
      <c r="D315" s="72"/>
      <c r="E315" s="72"/>
      <c r="F315" s="72"/>
      <c r="H315" s="1796" t="s">
        <v>2366</v>
      </c>
      <c r="I315" s="1796"/>
      <c r="J315" s="1796"/>
      <c r="K315" s="1796"/>
      <c r="L315" s="1796"/>
      <c r="M315" s="1796"/>
      <c r="N315" s="1796"/>
      <c r="O315" s="1796"/>
      <c r="P315" s="1796"/>
      <c r="Q315" s="1796"/>
      <c r="R315" s="1796"/>
      <c r="T315" s="72" t="s">
        <v>766</v>
      </c>
      <c r="V315" s="72"/>
      <c r="W315" s="72"/>
      <c r="X315" s="72"/>
      <c r="Y315" s="72"/>
      <c r="AA315" s="1797" t="s">
        <v>2380</v>
      </c>
      <c r="AB315" s="1796"/>
      <c r="AC315" s="1796"/>
      <c r="AD315" s="1796"/>
      <c r="AE315" s="1796"/>
      <c r="AF315" s="1796"/>
      <c r="AG315" s="1796"/>
      <c r="AH315" s="1796"/>
      <c r="AI315" s="1796"/>
      <c r="AJ315" s="1796"/>
      <c r="AK315" s="1796"/>
      <c r="BA315" s="75"/>
    </row>
    <row r="316" spans="1:53" ht="12.75" customHeight="1">
      <c r="A316" s="50"/>
      <c r="B316" s="72" t="s">
        <v>418</v>
      </c>
      <c r="C316" s="72"/>
      <c r="D316" s="72"/>
      <c r="E316" s="72"/>
      <c r="F316" s="72"/>
      <c r="H316" s="1796" t="s">
        <v>2367</v>
      </c>
      <c r="I316" s="1796"/>
      <c r="J316" s="1796"/>
      <c r="K316" s="1796"/>
      <c r="L316" s="1796"/>
      <c r="M316" s="1796"/>
      <c r="N316" s="1796"/>
      <c r="O316" s="1796"/>
      <c r="P316" s="1796"/>
      <c r="Q316" s="1796"/>
      <c r="R316" s="1796"/>
      <c r="T316" s="72" t="s">
        <v>418</v>
      </c>
      <c r="V316" s="72"/>
      <c r="W316" s="72"/>
      <c r="X316" s="72"/>
      <c r="Y316" s="72"/>
      <c r="AA316" s="1797" t="s">
        <v>2381</v>
      </c>
      <c r="AB316" s="1796"/>
      <c r="AC316" s="1796"/>
      <c r="AD316" s="1796"/>
      <c r="AE316" s="1796"/>
      <c r="AF316" s="1796"/>
      <c r="AG316" s="1796"/>
      <c r="AH316" s="1796"/>
      <c r="AI316" s="1796"/>
      <c r="AJ316" s="1796"/>
      <c r="AK316" s="1796"/>
      <c r="AL316" s="50"/>
      <c r="BA316" s="75"/>
    </row>
    <row r="317" spans="1:53" ht="12.75" customHeight="1">
      <c r="A317" s="50"/>
      <c r="B317" s="72" t="s">
        <v>419</v>
      </c>
      <c r="C317" s="72"/>
      <c r="D317" s="72"/>
      <c r="E317" s="72"/>
      <c r="F317" s="72"/>
      <c r="G317" s="72"/>
      <c r="H317" s="2072" t="s">
        <v>2368</v>
      </c>
      <c r="I317" s="2072"/>
      <c r="J317" s="2072"/>
      <c r="K317" s="2072"/>
      <c r="L317" s="2072"/>
      <c r="M317" s="2072"/>
      <c r="N317" s="8" t="s">
        <v>900</v>
      </c>
      <c r="O317" s="8"/>
      <c r="P317" s="2070"/>
      <c r="Q317" s="2070"/>
      <c r="R317" s="2070"/>
      <c r="S317" s="72"/>
      <c r="T317" s="72" t="s">
        <v>419</v>
      </c>
      <c r="V317" s="72"/>
      <c r="W317" s="72"/>
      <c r="X317" s="72"/>
      <c r="Y317" s="72"/>
      <c r="AA317" s="1898" t="s">
        <v>2382</v>
      </c>
      <c r="AB317" s="2072"/>
      <c r="AC317" s="2072"/>
      <c r="AD317" s="2072"/>
      <c r="AE317" s="2072"/>
      <c r="AF317" s="2072"/>
      <c r="AG317" s="8" t="s">
        <v>900</v>
      </c>
      <c r="AH317" s="8"/>
      <c r="AI317" s="2070"/>
      <c r="AJ317" s="2070"/>
      <c r="AK317" s="2070"/>
      <c r="AL317" s="50"/>
      <c r="BA317" s="75"/>
    </row>
    <row r="318" spans="1:53" ht="12.75" customHeight="1">
      <c r="A318" s="50"/>
      <c r="B318" s="72" t="s">
        <v>420</v>
      </c>
      <c r="C318" s="72"/>
      <c r="D318" s="72"/>
      <c r="E318" s="72"/>
      <c r="F318" s="72"/>
      <c r="G318" s="72"/>
      <c r="H318" s="1790" t="s">
        <v>2369</v>
      </c>
      <c r="I318" s="1790"/>
      <c r="J318" s="1790"/>
      <c r="K318" s="1790"/>
      <c r="L318" s="1790"/>
      <c r="M318" s="1790"/>
      <c r="N318" s="74"/>
      <c r="O318" s="74"/>
      <c r="P318" s="76"/>
      <c r="Q318" s="76"/>
      <c r="R318" s="76"/>
      <c r="S318" s="72"/>
      <c r="T318" s="72" t="s">
        <v>420</v>
      </c>
      <c r="V318" s="72"/>
      <c r="W318" s="72"/>
      <c r="X318" s="72"/>
      <c r="Y318" s="72"/>
      <c r="AA318" s="1789" t="s">
        <v>136</v>
      </c>
      <c r="AB318" s="1790"/>
      <c r="AC318" s="1790"/>
      <c r="AD318" s="1790"/>
      <c r="AE318" s="1790"/>
      <c r="AF318" s="1790"/>
      <c r="AG318" s="74"/>
      <c r="AH318" s="74"/>
      <c r="AI318" s="76"/>
      <c r="AJ318" s="76"/>
      <c r="AK318" s="76"/>
      <c r="AL318" s="50"/>
      <c r="BA318" s="75"/>
    </row>
    <row r="319" spans="1:53" ht="13.2">
      <c r="A319" s="50"/>
      <c r="B319" s="72" t="s">
        <v>768</v>
      </c>
      <c r="C319" s="72"/>
      <c r="D319" s="72"/>
      <c r="E319" s="72"/>
      <c r="F319" s="72"/>
      <c r="G319" s="72"/>
      <c r="H319" s="1796" t="s">
        <v>2370</v>
      </c>
      <c r="I319" s="1796"/>
      <c r="J319" s="1796"/>
      <c r="K319" s="1796"/>
      <c r="L319" s="1796"/>
      <c r="M319" s="1796"/>
      <c r="N319" s="1788"/>
      <c r="O319" s="1788"/>
      <c r="P319" s="1788"/>
      <c r="Q319" s="1788"/>
      <c r="R319" s="1788"/>
      <c r="S319" s="72"/>
      <c r="T319" s="72" t="s">
        <v>768</v>
      </c>
      <c r="V319" s="72"/>
      <c r="W319" s="72"/>
      <c r="X319" s="72"/>
      <c r="Y319" s="72"/>
      <c r="AA319" s="1797" t="s">
        <v>2383</v>
      </c>
      <c r="AB319" s="1796"/>
      <c r="AC319" s="1796"/>
      <c r="AD319" s="1796"/>
      <c r="AE319" s="1796"/>
      <c r="AF319" s="1796"/>
      <c r="AG319" s="1788"/>
      <c r="AH319" s="1788"/>
      <c r="AI319" s="1788"/>
      <c r="AJ319" s="1788"/>
      <c r="AK319" s="1788"/>
      <c r="AL319" s="50"/>
      <c r="BA319" s="75"/>
    </row>
    <row r="320" spans="1:53" ht="13.2">
      <c r="A320" s="50"/>
      <c r="B320" s="391"/>
      <c r="C320" s="391"/>
      <c r="D320" s="391"/>
      <c r="E320" s="391"/>
      <c r="F320" s="391"/>
      <c r="G320" s="391"/>
      <c r="H320" s="50"/>
      <c r="I320" s="50"/>
      <c r="J320" s="50"/>
      <c r="K320" s="50"/>
      <c r="L320" s="50"/>
      <c r="M320" s="50"/>
      <c r="N320" s="50"/>
      <c r="O320" s="50"/>
      <c r="P320" s="392"/>
      <c r="Q320" s="392"/>
      <c r="R320" s="392"/>
      <c r="S320" s="392"/>
      <c r="T320" s="392"/>
      <c r="U320" s="392"/>
      <c r="V320" s="136"/>
      <c r="W320" s="136"/>
      <c r="X320" s="76"/>
      <c r="Y320" s="76"/>
      <c r="Z320" s="76"/>
      <c r="AA320" s="50"/>
      <c r="AB320" s="50"/>
      <c r="AC320" s="50"/>
      <c r="AD320" s="50"/>
      <c r="AE320" s="50"/>
      <c r="AF320" s="50"/>
      <c r="AG320" s="50"/>
      <c r="AH320" s="50"/>
      <c r="AI320" s="50"/>
      <c r="AJ320" s="50"/>
      <c r="AK320" s="50"/>
      <c r="AL320" s="50"/>
      <c r="BA320" s="75"/>
    </row>
    <row r="321" spans="1:53" ht="13.2">
      <c r="A321" s="50"/>
      <c r="B321" s="8" t="s">
        <v>1270</v>
      </c>
      <c r="C321" s="72"/>
      <c r="D321" s="72"/>
      <c r="E321" s="72"/>
      <c r="F321" s="72"/>
      <c r="H321" s="1787" t="s">
        <v>2387</v>
      </c>
      <c r="I321" s="1788"/>
      <c r="J321" s="1788"/>
      <c r="K321" s="1788"/>
      <c r="L321" s="1788"/>
      <c r="M321" s="1788"/>
      <c r="N321" s="1788"/>
      <c r="O321" s="1788"/>
      <c r="P321" s="1788"/>
      <c r="Q321" s="1788"/>
      <c r="R321" s="1788"/>
      <c r="T321" s="72" t="s">
        <v>42</v>
      </c>
      <c r="V321" s="72"/>
      <c r="W321" s="72"/>
      <c r="X321" s="72"/>
      <c r="Y321" s="72"/>
      <c r="AA321" s="1787" t="s">
        <v>2390</v>
      </c>
      <c r="AB321" s="1788"/>
      <c r="AC321" s="1788"/>
      <c r="AD321" s="1788"/>
      <c r="AE321" s="1788"/>
      <c r="AF321" s="1788"/>
      <c r="AG321" s="1788"/>
      <c r="AH321" s="1788"/>
      <c r="AI321" s="1788"/>
      <c r="AJ321" s="1788"/>
      <c r="AK321" s="1788"/>
      <c r="AL321" s="50"/>
      <c r="BA321" s="75"/>
    </row>
    <row r="322" spans="1:53" ht="13.2">
      <c r="A322" s="50"/>
      <c r="B322" s="72" t="s">
        <v>765</v>
      </c>
      <c r="C322" s="72"/>
      <c r="D322" s="72"/>
      <c r="E322" s="72"/>
      <c r="F322" s="72"/>
      <c r="H322" s="1797" t="s">
        <v>2384</v>
      </c>
      <c r="I322" s="1796"/>
      <c r="J322" s="1796"/>
      <c r="K322" s="1796"/>
      <c r="L322" s="1796"/>
      <c r="M322" s="1796"/>
      <c r="N322" s="1796"/>
      <c r="O322" s="1796"/>
      <c r="P322" s="1796"/>
      <c r="Q322" s="1796"/>
      <c r="R322" s="1796"/>
      <c r="T322" s="72" t="s">
        <v>765</v>
      </c>
      <c r="V322" s="72"/>
      <c r="W322" s="72"/>
      <c r="X322" s="72"/>
      <c r="Y322" s="72"/>
      <c r="AA322" s="1797" t="s">
        <v>2391</v>
      </c>
      <c r="AB322" s="1796"/>
      <c r="AC322" s="1796"/>
      <c r="AD322" s="1796"/>
      <c r="AE322" s="1796"/>
      <c r="AF322" s="1796"/>
      <c r="AG322" s="1796"/>
      <c r="AH322" s="1796"/>
      <c r="AI322" s="1796"/>
      <c r="AJ322" s="1796"/>
      <c r="AK322" s="1796"/>
      <c r="AL322" s="50"/>
      <c r="BA322" s="75"/>
    </row>
    <row r="323" spans="1:53" ht="13.2">
      <c r="A323" s="50"/>
      <c r="B323" s="72" t="s">
        <v>767</v>
      </c>
      <c r="C323" s="72"/>
      <c r="D323" s="72"/>
      <c r="E323" s="72"/>
      <c r="F323" s="72"/>
      <c r="H323" s="1797" t="s">
        <v>2385</v>
      </c>
      <c r="I323" s="1796"/>
      <c r="J323" s="1796"/>
      <c r="K323" s="1796"/>
      <c r="L323" s="1796"/>
      <c r="M323" s="1796"/>
      <c r="N323" s="1796"/>
      <c r="O323" s="1796"/>
      <c r="P323" s="1796"/>
      <c r="Q323" s="1796"/>
      <c r="R323" s="1796"/>
      <c r="T323" s="72" t="s">
        <v>766</v>
      </c>
      <c r="V323" s="72"/>
      <c r="W323" s="72"/>
      <c r="X323" s="72"/>
      <c r="Y323" s="72"/>
      <c r="AA323" s="1797" t="s">
        <v>2392</v>
      </c>
      <c r="AB323" s="1796"/>
      <c r="AC323" s="1796"/>
      <c r="AD323" s="1796"/>
      <c r="AE323" s="1796"/>
      <c r="AF323" s="1796"/>
      <c r="AG323" s="1796"/>
      <c r="AH323" s="1796"/>
      <c r="AI323" s="1796"/>
      <c r="AJ323" s="1796"/>
      <c r="AK323" s="1796"/>
      <c r="AL323" s="50"/>
      <c r="BA323" s="75"/>
    </row>
    <row r="324" spans="1:53" ht="13.2">
      <c r="A324" s="50"/>
      <c r="B324" s="72" t="s">
        <v>418</v>
      </c>
      <c r="C324" s="72"/>
      <c r="D324" s="72"/>
      <c r="E324" s="72"/>
      <c r="F324" s="72"/>
      <c r="H324" s="1797" t="s">
        <v>2388</v>
      </c>
      <c r="I324" s="1796"/>
      <c r="J324" s="1796"/>
      <c r="K324" s="1796"/>
      <c r="L324" s="1796"/>
      <c r="M324" s="1796"/>
      <c r="N324" s="1796"/>
      <c r="O324" s="1796"/>
      <c r="P324" s="1796"/>
      <c r="Q324" s="1796"/>
      <c r="R324" s="1796"/>
      <c r="T324" s="72" t="s">
        <v>418</v>
      </c>
      <c r="V324" s="72"/>
      <c r="W324" s="72"/>
      <c r="X324" s="72"/>
      <c r="Y324" s="72"/>
      <c r="AA324" s="1797" t="s">
        <v>2393</v>
      </c>
      <c r="AB324" s="1796"/>
      <c r="AC324" s="1796"/>
      <c r="AD324" s="1796"/>
      <c r="AE324" s="1796"/>
      <c r="AF324" s="1796"/>
      <c r="AG324" s="1796"/>
      <c r="AH324" s="1796"/>
      <c r="AI324" s="1796"/>
      <c r="AJ324" s="1796"/>
      <c r="AK324" s="1796"/>
      <c r="AL324" s="50"/>
      <c r="BA324" s="75"/>
    </row>
    <row r="325" spans="1:53" ht="13.2">
      <c r="A325" s="50"/>
      <c r="B325" s="72" t="s">
        <v>419</v>
      </c>
      <c r="C325" s="72"/>
      <c r="D325" s="72"/>
      <c r="E325" s="72"/>
      <c r="F325" s="72"/>
      <c r="G325" s="72"/>
      <c r="H325" s="1898" t="s">
        <v>2386</v>
      </c>
      <c r="I325" s="2072"/>
      <c r="J325" s="2072"/>
      <c r="K325" s="2072"/>
      <c r="L325" s="2072"/>
      <c r="M325" s="2072"/>
      <c r="N325" s="8" t="s">
        <v>900</v>
      </c>
      <c r="O325" s="8"/>
      <c r="P325" s="2070">
        <v>323</v>
      </c>
      <c r="Q325" s="2070"/>
      <c r="R325" s="2070"/>
      <c r="S325" s="72"/>
      <c r="T325" s="72" t="s">
        <v>419</v>
      </c>
      <c r="V325" s="72"/>
      <c r="W325" s="72"/>
      <c r="X325" s="72"/>
      <c r="Y325" s="72"/>
      <c r="AA325" s="1898" t="s">
        <v>2394</v>
      </c>
      <c r="AB325" s="2072"/>
      <c r="AC325" s="2072"/>
      <c r="AD325" s="2072"/>
      <c r="AE325" s="2072"/>
      <c r="AF325" s="2072"/>
      <c r="AG325" s="8" t="s">
        <v>900</v>
      </c>
      <c r="AH325" s="8"/>
      <c r="AI325" s="2070"/>
      <c r="AJ325" s="2070"/>
      <c r="AK325" s="2070"/>
      <c r="AL325" s="50"/>
      <c r="BA325" s="75"/>
    </row>
    <row r="326" spans="1:53" ht="13.2">
      <c r="A326" s="50"/>
      <c r="B326" s="72" t="s">
        <v>420</v>
      </c>
      <c r="C326" s="72"/>
      <c r="D326" s="72"/>
      <c r="E326" s="72"/>
      <c r="F326" s="72"/>
      <c r="G326" s="72"/>
      <c r="H326" s="1790"/>
      <c r="I326" s="1790"/>
      <c r="J326" s="1790"/>
      <c r="K326" s="1790"/>
      <c r="L326" s="1790"/>
      <c r="M326" s="1790"/>
      <c r="N326" s="74"/>
      <c r="O326" s="74"/>
      <c r="P326" s="76"/>
      <c r="Q326" s="76"/>
      <c r="R326" s="76"/>
      <c r="S326" s="72"/>
      <c r="T326" s="72" t="s">
        <v>420</v>
      </c>
      <c r="V326" s="72"/>
      <c r="W326" s="72"/>
      <c r="X326" s="72"/>
      <c r="Y326" s="72"/>
      <c r="AA326" s="1789" t="s">
        <v>2395</v>
      </c>
      <c r="AB326" s="1790"/>
      <c r="AC326" s="1790"/>
      <c r="AD326" s="1790"/>
      <c r="AE326" s="1790"/>
      <c r="AF326" s="1790"/>
      <c r="AG326" s="74"/>
      <c r="AH326" s="74"/>
      <c r="AI326" s="76"/>
      <c r="AJ326" s="76"/>
      <c r="AK326" s="76"/>
      <c r="AL326" s="50"/>
      <c r="BA326" s="75"/>
    </row>
    <row r="327" spans="1:53" ht="13.2">
      <c r="A327" s="50"/>
      <c r="B327" s="72" t="s">
        <v>768</v>
      </c>
      <c r="C327" s="72"/>
      <c r="D327" s="72"/>
      <c r="E327" s="72"/>
      <c r="F327" s="72"/>
      <c r="G327" s="72"/>
      <c r="H327" s="1797" t="s">
        <v>2389</v>
      </c>
      <c r="I327" s="1796"/>
      <c r="J327" s="1796"/>
      <c r="K327" s="1796"/>
      <c r="L327" s="1796"/>
      <c r="M327" s="1796"/>
      <c r="N327" s="1788"/>
      <c r="O327" s="1788"/>
      <c r="P327" s="1788"/>
      <c r="Q327" s="1788"/>
      <c r="R327" s="1788"/>
      <c r="S327" s="72"/>
      <c r="T327" s="72" t="s">
        <v>768</v>
      </c>
      <c r="V327" s="72"/>
      <c r="W327" s="72"/>
      <c r="X327" s="72"/>
      <c r="Y327" s="72"/>
      <c r="AA327" s="1797" t="s">
        <v>2396</v>
      </c>
      <c r="AB327" s="1796"/>
      <c r="AC327" s="1796"/>
      <c r="AD327" s="1796"/>
      <c r="AE327" s="1796"/>
      <c r="AF327" s="1796"/>
      <c r="AG327" s="1788"/>
      <c r="AH327" s="1788"/>
      <c r="AI327" s="1788"/>
      <c r="AJ327" s="1788"/>
      <c r="AK327" s="1788"/>
      <c r="AL327" s="50"/>
      <c r="BA327" s="75"/>
    </row>
    <row r="328" spans="1:53" ht="12.75" customHeight="1">
      <c r="A328" s="50"/>
      <c r="B328" s="8"/>
      <c r="C328" s="391"/>
      <c r="D328" s="391"/>
      <c r="E328" s="391"/>
      <c r="F328" s="391"/>
      <c r="G328" s="391"/>
      <c r="H328" s="50"/>
      <c r="I328" s="50"/>
      <c r="J328" s="50"/>
      <c r="K328" s="50"/>
      <c r="L328" s="50"/>
      <c r="M328" s="50"/>
      <c r="N328" s="50"/>
      <c r="O328" s="50"/>
      <c r="P328" s="392"/>
      <c r="Q328" s="392"/>
      <c r="R328" s="392"/>
      <c r="S328" s="392"/>
      <c r="T328" s="392"/>
      <c r="U328" s="392"/>
      <c r="V328" s="136"/>
      <c r="W328" s="136"/>
      <c r="X328" s="76"/>
      <c r="Y328" s="76"/>
      <c r="Z328" s="76"/>
      <c r="AA328" s="50"/>
      <c r="AB328" s="50"/>
      <c r="AC328" s="50"/>
      <c r="AD328" s="50"/>
      <c r="AE328" s="50"/>
      <c r="AF328" s="50"/>
      <c r="AG328" s="50"/>
      <c r="AH328" s="50"/>
      <c r="AI328" s="50"/>
      <c r="AJ328" s="50"/>
      <c r="AK328" s="50"/>
      <c r="AL328" s="50"/>
      <c r="BA328" s="75"/>
    </row>
    <row r="329" spans="1:53" ht="13.2">
      <c r="B329" s="72" t="s">
        <v>43</v>
      </c>
      <c r="C329" s="72"/>
      <c r="D329" s="72"/>
      <c r="E329" s="72"/>
      <c r="F329" s="72"/>
      <c r="H329" s="1787" t="s">
        <v>2397</v>
      </c>
      <c r="I329" s="1788"/>
      <c r="J329" s="1788"/>
      <c r="K329" s="1788"/>
      <c r="L329" s="1788"/>
      <c r="M329" s="1788"/>
      <c r="N329" s="1788"/>
      <c r="O329" s="1788"/>
      <c r="P329" s="1788"/>
      <c r="Q329" s="1788"/>
      <c r="R329" s="1788"/>
      <c r="S329" s="723"/>
      <c r="T329" s="652" t="s">
        <v>1225</v>
      </c>
      <c r="V329" s="72"/>
      <c r="W329" s="72"/>
      <c r="X329" s="72"/>
      <c r="Y329" s="72"/>
      <c r="AA329" s="1787" t="s">
        <v>2404</v>
      </c>
      <c r="AB329" s="1788"/>
      <c r="AC329" s="1788"/>
      <c r="AD329" s="1788"/>
      <c r="AE329" s="1788"/>
      <c r="AF329" s="1788"/>
      <c r="AG329" s="1788"/>
      <c r="AH329" s="1788"/>
      <c r="AI329" s="1788"/>
      <c r="AJ329" s="1788"/>
      <c r="AK329" s="1788"/>
      <c r="AL329" s="50"/>
      <c r="BA329" s="75"/>
    </row>
    <row r="330" spans="1:53" ht="13.2">
      <c r="B330" s="72" t="s">
        <v>765</v>
      </c>
      <c r="C330" s="72"/>
      <c r="D330" s="72"/>
      <c r="E330" s="72"/>
      <c r="F330" s="72"/>
      <c r="H330" s="1797" t="s">
        <v>2398</v>
      </c>
      <c r="I330" s="1796"/>
      <c r="J330" s="1796"/>
      <c r="K330" s="1796"/>
      <c r="L330" s="1796"/>
      <c r="M330" s="1796"/>
      <c r="N330" s="1796"/>
      <c r="O330" s="1796"/>
      <c r="P330" s="1796"/>
      <c r="Q330" s="1796"/>
      <c r="R330" s="1796"/>
      <c r="S330" s="723"/>
      <c r="T330" s="72" t="s">
        <v>765</v>
      </c>
      <c r="V330" s="72"/>
      <c r="W330" s="72"/>
      <c r="X330" s="72"/>
      <c r="Y330" s="72"/>
      <c r="AA330" s="1797" t="s">
        <v>2342</v>
      </c>
      <c r="AB330" s="1796"/>
      <c r="AC330" s="1796"/>
      <c r="AD330" s="1796"/>
      <c r="AE330" s="1796"/>
      <c r="AF330" s="1796"/>
      <c r="AG330" s="1796"/>
      <c r="AH330" s="1796"/>
      <c r="AI330" s="1796"/>
      <c r="AJ330" s="1796"/>
      <c r="AK330" s="1796"/>
      <c r="AL330" s="50"/>
      <c r="BA330" s="75"/>
    </row>
    <row r="331" spans="1:53" ht="13.2">
      <c r="B331" s="72" t="s">
        <v>767</v>
      </c>
      <c r="C331" s="72"/>
      <c r="D331" s="72"/>
      <c r="E331" s="72"/>
      <c r="F331" s="72"/>
      <c r="G331" s="72"/>
      <c r="H331" s="1797" t="s">
        <v>2399</v>
      </c>
      <c r="I331" s="1796"/>
      <c r="J331" s="1796"/>
      <c r="K331" s="1796"/>
      <c r="L331" s="1796"/>
      <c r="M331" s="1796"/>
      <c r="N331" s="1796"/>
      <c r="O331" s="1796"/>
      <c r="P331" s="1796"/>
      <c r="Q331" s="1796"/>
      <c r="R331" s="1796"/>
      <c r="S331" s="723"/>
      <c r="T331" s="72" t="s">
        <v>766</v>
      </c>
      <c r="V331" s="72"/>
      <c r="W331" s="72"/>
      <c r="X331" s="72"/>
      <c r="Y331" s="72"/>
      <c r="AA331" s="1797" t="s">
        <v>2349</v>
      </c>
      <c r="AB331" s="1796"/>
      <c r="AC331" s="1796"/>
      <c r="AD331" s="1796"/>
      <c r="AE331" s="1796"/>
      <c r="AF331" s="1796"/>
      <c r="AG331" s="1796"/>
      <c r="AH331" s="1796"/>
      <c r="AI331" s="1796"/>
      <c r="AJ331" s="1796"/>
      <c r="AK331" s="1796"/>
      <c r="AL331" s="50"/>
      <c r="BA331" s="75"/>
    </row>
    <row r="332" spans="1:53" ht="13.2">
      <c r="A332" s="50"/>
      <c r="B332" s="72" t="s">
        <v>418</v>
      </c>
      <c r="C332" s="72"/>
      <c r="D332" s="72"/>
      <c r="E332" s="72"/>
      <c r="F332" s="72"/>
      <c r="H332" s="1797" t="s">
        <v>2400</v>
      </c>
      <c r="I332" s="1796"/>
      <c r="J332" s="1796"/>
      <c r="K332" s="1796"/>
      <c r="L332" s="1796"/>
      <c r="M332" s="1796"/>
      <c r="N332" s="1796"/>
      <c r="O332" s="1796"/>
      <c r="P332" s="1796"/>
      <c r="Q332" s="1796"/>
      <c r="R332" s="1796"/>
      <c r="S332" s="723"/>
      <c r="T332" s="72" t="s">
        <v>418</v>
      </c>
      <c r="V332" s="72"/>
      <c r="W332" s="72"/>
      <c r="X332" s="72"/>
      <c r="Y332" s="72"/>
      <c r="AA332" s="1797" t="s">
        <v>2506</v>
      </c>
      <c r="AB332" s="1796"/>
      <c r="AC332" s="1796"/>
      <c r="AD332" s="1796"/>
      <c r="AE332" s="1796"/>
      <c r="AF332" s="1796"/>
      <c r="AG332" s="1796"/>
      <c r="AH332" s="1796"/>
      <c r="AI332" s="1796"/>
      <c r="AJ332" s="1796"/>
      <c r="AK332" s="1796"/>
      <c r="AL332" s="50"/>
      <c r="BA332" s="75"/>
    </row>
    <row r="333" spans="1:53" ht="13.2">
      <c r="A333" s="50"/>
      <c r="B333" s="72" t="s">
        <v>419</v>
      </c>
      <c r="C333" s="72"/>
      <c r="D333" s="72"/>
      <c r="E333" s="72"/>
      <c r="F333" s="72"/>
      <c r="G333" s="72"/>
      <c r="H333" s="1898" t="s">
        <v>2401</v>
      </c>
      <c r="I333" s="2072"/>
      <c r="J333" s="2072"/>
      <c r="K333" s="2072"/>
      <c r="L333" s="2072"/>
      <c r="M333" s="2072"/>
      <c r="N333" s="8" t="s">
        <v>900</v>
      </c>
      <c r="O333" s="8"/>
      <c r="P333" s="2070"/>
      <c r="Q333" s="2070"/>
      <c r="R333" s="2070"/>
      <c r="S333" s="3"/>
      <c r="T333" s="72" t="s">
        <v>419</v>
      </c>
      <c r="V333" s="72"/>
      <c r="W333" s="72"/>
      <c r="X333" s="72"/>
      <c r="Y333" s="72"/>
      <c r="AA333" s="1898" t="s">
        <v>2510</v>
      </c>
      <c r="AB333" s="2072"/>
      <c r="AC333" s="2072"/>
      <c r="AD333" s="2072"/>
      <c r="AE333" s="2072"/>
      <c r="AF333" s="2072"/>
      <c r="AG333" s="8" t="s">
        <v>900</v>
      </c>
      <c r="AH333" s="8"/>
      <c r="AI333" s="2070"/>
      <c r="AJ333" s="2070"/>
      <c r="AK333" s="2070"/>
      <c r="AL333" s="50"/>
      <c r="BA333" s="75"/>
    </row>
    <row r="334" spans="1:53" ht="13.2">
      <c r="A334" s="50"/>
      <c r="B334" s="72" t="s">
        <v>420</v>
      </c>
      <c r="C334" s="72"/>
      <c r="D334" s="72"/>
      <c r="E334" s="72"/>
      <c r="F334" s="72"/>
      <c r="G334" s="72"/>
      <c r="H334" s="1789" t="s">
        <v>2402</v>
      </c>
      <c r="I334" s="1790"/>
      <c r="J334" s="1790"/>
      <c r="K334" s="1790"/>
      <c r="L334" s="1790"/>
      <c r="M334" s="1790"/>
      <c r="N334" s="74"/>
      <c r="O334" s="74"/>
      <c r="P334" s="76"/>
      <c r="Q334" s="76"/>
      <c r="R334" s="76"/>
      <c r="S334" s="3"/>
      <c r="T334" s="72" t="s">
        <v>420</v>
      </c>
      <c r="V334" s="72"/>
      <c r="W334" s="72"/>
      <c r="X334" s="72"/>
      <c r="Y334" s="72"/>
      <c r="AA334" s="1789" t="s">
        <v>2344</v>
      </c>
      <c r="AB334" s="1790"/>
      <c r="AC334" s="1790"/>
      <c r="AD334" s="1790"/>
      <c r="AE334" s="1790"/>
      <c r="AF334" s="1790"/>
      <c r="AG334" s="74"/>
      <c r="AH334" s="74"/>
      <c r="AI334" s="76"/>
      <c r="AJ334" s="76"/>
      <c r="AK334" s="76"/>
      <c r="AL334" s="50"/>
      <c r="BA334" s="75"/>
    </row>
    <row r="335" spans="1:53" ht="13.2">
      <c r="A335" s="50"/>
      <c r="B335" s="72" t="s">
        <v>768</v>
      </c>
      <c r="C335" s="72"/>
      <c r="D335" s="72"/>
      <c r="E335" s="72"/>
      <c r="F335" s="72"/>
      <c r="G335" s="72"/>
      <c r="H335" s="1797" t="s">
        <v>2403</v>
      </c>
      <c r="I335" s="1796"/>
      <c r="J335" s="1796"/>
      <c r="K335" s="1796"/>
      <c r="L335" s="1796"/>
      <c r="M335" s="1796"/>
      <c r="N335" s="1788"/>
      <c r="O335" s="1788"/>
      <c r="P335" s="1788"/>
      <c r="Q335" s="1788"/>
      <c r="R335" s="1788"/>
      <c r="S335" s="723"/>
      <c r="T335" s="72" t="s">
        <v>768</v>
      </c>
      <c r="V335" s="72"/>
      <c r="W335" s="72"/>
      <c r="X335" s="72"/>
      <c r="Y335" s="72"/>
      <c r="AA335" s="1797" t="s">
        <v>2507</v>
      </c>
      <c r="AB335" s="1796"/>
      <c r="AC335" s="1796"/>
      <c r="AD335" s="1796"/>
      <c r="AE335" s="1796"/>
      <c r="AF335" s="1796"/>
      <c r="AG335" s="1788"/>
      <c r="AH335" s="1788"/>
      <c r="AI335" s="1788"/>
      <c r="AJ335" s="1788"/>
      <c r="AK335" s="1788"/>
      <c r="AL335" s="50"/>
      <c r="BA335" s="75"/>
    </row>
    <row r="336" spans="1:53" ht="13.2">
      <c r="A336" s="50"/>
      <c r="B336" s="391"/>
      <c r="C336" s="391"/>
      <c r="D336" s="391"/>
      <c r="E336" s="391"/>
      <c r="F336" s="391"/>
      <c r="G336" s="391"/>
      <c r="H336" s="18"/>
      <c r="I336" s="18"/>
      <c r="J336" s="18"/>
      <c r="K336" s="18"/>
      <c r="L336" s="18"/>
      <c r="M336" s="18"/>
      <c r="N336" s="18"/>
      <c r="O336" s="18"/>
      <c r="P336" s="18"/>
      <c r="Q336" s="18"/>
      <c r="R336" s="18"/>
      <c r="S336" s="102"/>
      <c r="T336" s="391"/>
      <c r="U336" s="50"/>
      <c r="V336" s="391"/>
      <c r="W336" s="391"/>
      <c r="X336" s="391"/>
      <c r="Y336" s="391"/>
      <c r="Z336" s="50"/>
      <c r="AA336" s="18"/>
      <c r="AB336" s="18"/>
      <c r="AC336" s="18"/>
      <c r="AD336" s="18"/>
      <c r="AE336" s="18"/>
      <c r="AF336" s="18"/>
      <c r="AG336" s="18"/>
      <c r="AH336" s="18"/>
      <c r="AI336" s="18"/>
      <c r="AJ336" s="18"/>
      <c r="AK336" s="18"/>
      <c r="AL336" s="50"/>
      <c r="BA336" s="75"/>
    </row>
    <row r="337" spans="1:53" ht="12.75" customHeight="1">
      <c r="A337" s="50"/>
      <c r="B337" s="652" t="s">
        <v>44</v>
      </c>
      <c r="C337" s="596"/>
      <c r="D337" s="596"/>
      <c r="E337" s="596"/>
      <c r="F337" s="596"/>
      <c r="G337" s="597"/>
      <c r="H337" s="1787" t="s">
        <v>136</v>
      </c>
      <c r="I337" s="1788"/>
      <c r="J337" s="1788"/>
      <c r="K337" s="1788"/>
      <c r="L337" s="1788"/>
      <c r="M337" s="1788"/>
      <c r="N337" s="1788"/>
      <c r="O337" s="1788"/>
      <c r="P337" s="1788"/>
      <c r="Q337" s="1788"/>
      <c r="R337" s="1788"/>
      <c r="T337" s="596" t="s">
        <v>1268</v>
      </c>
      <c r="AA337" s="1787" t="s">
        <v>136</v>
      </c>
      <c r="AB337" s="1788"/>
      <c r="AC337" s="1788"/>
      <c r="AD337" s="1788"/>
      <c r="AE337" s="1788"/>
      <c r="AF337" s="1788"/>
      <c r="AG337" s="1788"/>
      <c r="AH337" s="1788"/>
      <c r="AI337" s="1788"/>
      <c r="AJ337" s="1788"/>
      <c r="AK337" s="1788"/>
      <c r="AL337" s="50"/>
      <c r="BA337" s="75"/>
    </row>
    <row r="338" spans="1:53" ht="13.2">
      <c r="A338" s="50"/>
      <c r="B338" s="596" t="s">
        <v>765</v>
      </c>
      <c r="C338" s="596"/>
      <c r="D338" s="596"/>
      <c r="E338" s="596"/>
      <c r="F338" s="596"/>
      <c r="G338" s="597"/>
      <c r="H338" s="1796"/>
      <c r="I338" s="1796"/>
      <c r="J338" s="1796"/>
      <c r="K338" s="1796"/>
      <c r="L338" s="1796"/>
      <c r="M338" s="1796"/>
      <c r="N338" s="1796"/>
      <c r="O338" s="1796"/>
      <c r="P338" s="1796"/>
      <c r="Q338" s="1796"/>
      <c r="R338" s="1796"/>
      <c r="T338" s="72" t="s">
        <v>765</v>
      </c>
      <c r="AA338" s="1796"/>
      <c r="AB338" s="1796"/>
      <c r="AC338" s="1796"/>
      <c r="AD338" s="1796"/>
      <c r="AE338" s="1796"/>
      <c r="AF338" s="1796"/>
      <c r="AG338" s="1796"/>
      <c r="AH338" s="1796"/>
      <c r="AI338" s="1796"/>
      <c r="AJ338" s="1796"/>
      <c r="AK338" s="1796"/>
      <c r="AL338" s="50"/>
      <c r="BA338" s="75"/>
    </row>
    <row r="339" spans="1:53" ht="13.2">
      <c r="A339" s="50"/>
      <c r="B339" s="596" t="s">
        <v>767</v>
      </c>
      <c r="C339" s="596"/>
      <c r="D339" s="596"/>
      <c r="E339" s="596"/>
      <c r="F339" s="596"/>
      <c r="G339" s="596"/>
      <c r="H339" s="1796"/>
      <c r="I339" s="1796"/>
      <c r="J339" s="1796"/>
      <c r="K339" s="1796"/>
      <c r="L339" s="1796"/>
      <c r="M339" s="1796"/>
      <c r="N339" s="1796"/>
      <c r="O339" s="1796"/>
      <c r="P339" s="1796"/>
      <c r="Q339" s="1796"/>
      <c r="R339" s="1796"/>
      <c r="T339" s="72" t="s">
        <v>766</v>
      </c>
      <c r="AA339" s="1796"/>
      <c r="AB339" s="1796"/>
      <c r="AC339" s="1796"/>
      <c r="AD339" s="1796"/>
      <c r="AE339" s="1796"/>
      <c r="AF339" s="1796"/>
      <c r="AG339" s="1796"/>
      <c r="AH339" s="1796"/>
      <c r="AI339" s="1796"/>
      <c r="AJ339" s="1796"/>
      <c r="AK339" s="1796"/>
      <c r="AL339" s="50"/>
    </row>
    <row r="340" spans="1:53" ht="13.2">
      <c r="A340" s="50"/>
      <c r="B340" s="596" t="s">
        <v>418</v>
      </c>
      <c r="C340" s="596"/>
      <c r="D340" s="596"/>
      <c r="E340" s="596"/>
      <c r="F340" s="596"/>
      <c r="G340" s="597"/>
      <c r="H340" s="1796"/>
      <c r="I340" s="1796"/>
      <c r="J340" s="1796"/>
      <c r="K340" s="1796"/>
      <c r="L340" s="1796"/>
      <c r="M340" s="1796"/>
      <c r="N340" s="1796"/>
      <c r="O340" s="1796"/>
      <c r="P340" s="1796"/>
      <c r="Q340" s="1796"/>
      <c r="R340" s="1796"/>
      <c r="T340" s="72" t="s">
        <v>418</v>
      </c>
      <c r="AA340" s="1796"/>
      <c r="AB340" s="1796"/>
      <c r="AC340" s="1796"/>
      <c r="AD340" s="1796"/>
      <c r="AE340" s="1796"/>
      <c r="AF340" s="1796"/>
      <c r="AG340" s="1796"/>
      <c r="AH340" s="1796"/>
      <c r="AI340" s="1796"/>
      <c r="AJ340" s="1796"/>
      <c r="AK340" s="1796"/>
      <c r="AL340" s="50"/>
    </row>
    <row r="341" spans="1:53" ht="13.2">
      <c r="A341" s="50"/>
      <c r="B341" s="596" t="s">
        <v>419</v>
      </c>
      <c r="C341" s="596"/>
      <c r="D341" s="596"/>
      <c r="E341" s="596"/>
      <c r="F341" s="596"/>
      <c r="G341" s="596"/>
      <c r="H341" s="2072"/>
      <c r="I341" s="2072"/>
      <c r="J341" s="2072"/>
      <c r="K341" s="2072"/>
      <c r="L341" s="2072"/>
      <c r="M341" s="2072"/>
      <c r="N341" s="8" t="s">
        <v>900</v>
      </c>
      <c r="O341" s="8"/>
      <c r="P341" s="2070"/>
      <c r="Q341" s="2070"/>
      <c r="R341" s="2070"/>
      <c r="T341" s="72" t="s">
        <v>419</v>
      </c>
      <c r="AA341" s="2072"/>
      <c r="AB341" s="2072"/>
      <c r="AC341" s="2072"/>
      <c r="AD341" s="2072"/>
      <c r="AE341" s="2072"/>
      <c r="AF341" s="2072"/>
      <c r="AG341" s="8" t="s">
        <v>900</v>
      </c>
      <c r="AH341" s="8"/>
      <c r="AI341" s="2070"/>
      <c r="AJ341" s="2070"/>
      <c r="AK341" s="2070"/>
      <c r="AL341" s="50"/>
    </row>
    <row r="342" spans="1:53" ht="13.2">
      <c r="A342" s="50"/>
      <c r="B342" s="596" t="s">
        <v>420</v>
      </c>
      <c r="C342" s="596"/>
      <c r="D342" s="596"/>
      <c r="E342" s="596"/>
      <c r="F342" s="596"/>
      <c r="G342" s="596"/>
      <c r="H342" s="1790"/>
      <c r="I342" s="1790"/>
      <c r="J342" s="1790"/>
      <c r="K342" s="1790"/>
      <c r="L342" s="1790"/>
      <c r="M342" s="1790"/>
      <c r="N342" s="74"/>
      <c r="O342" s="74"/>
      <c r="P342" s="76"/>
      <c r="Q342" s="76"/>
      <c r="R342" s="76"/>
      <c r="T342" s="72" t="s">
        <v>420</v>
      </c>
      <c r="AA342" s="1790"/>
      <c r="AB342" s="1790"/>
      <c r="AC342" s="1790"/>
      <c r="AD342" s="1790"/>
      <c r="AE342" s="1790"/>
      <c r="AF342" s="1790"/>
      <c r="AG342" s="74"/>
      <c r="AH342" s="74"/>
      <c r="AI342" s="76"/>
      <c r="AJ342" s="76"/>
      <c r="AK342" s="76"/>
      <c r="AL342" s="50"/>
    </row>
    <row r="343" spans="1:53" ht="12.75" customHeight="1">
      <c r="A343" s="50"/>
      <c r="B343" s="596" t="s">
        <v>768</v>
      </c>
      <c r="C343" s="596"/>
      <c r="D343" s="596"/>
      <c r="E343" s="596"/>
      <c r="F343" s="596"/>
      <c r="G343" s="596"/>
      <c r="H343" s="1796"/>
      <c r="I343" s="1796"/>
      <c r="J343" s="1796"/>
      <c r="K343" s="1796"/>
      <c r="L343" s="1796"/>
      <c r="M343" s="1796"/>
      <c r="N343" s="1788"/>
      <c r="O343" s="1788"/>
      <c r="P343" s="1788"/>
      <c r="Q343" s="1788"/>
      <c r="R343" s="1788"/>
      <c r="T343" s="72" t="s">
        <v>768</v>
      </c>
      <c r="AA343" s="1796"/>
      <c r="AB343" s="1796"/>
      <c r="AC343" s="1796"/>
      <c r="AD343" s="1796"/>
      <c r="AE343" s="1796"/>
      <c r="AF343" s="1796"/>
      <c r="AG343" s="1788"/>
      <c r="AH343" s="1788"/>
      <c r="AI343" s="1788"/>
      <c r="AJ343" s="1788"/>
      <c r="AK343" s="1788"/>
      <c r="AL343" s="50"/>
    </row>
    <row r="344" spans="1:53" ht="13.2">
      <c r="A344" s="50"/>
      <c r="B344" s="391"/>
      <c r="C344" s="391"/>
      <c r="D344" s="391"/>
      <c r="E344" s="391"/>
      <c r="F344" s="391"/>
      <c r="G344" s="391"/>
      <c r="H344" s="18"/>
      <c r="I344" s="18"/>
      <c r="J344" s="18"/>
      <c r="K344" s="18"/>
      <c r="L344" s="18"/>
      <c r="M344" s="18"/>
      <c r="N344" s="18"/>
      <c r="O344" s="18"/>
      <c r="P344" s="18"/>
      <c r="Q344" s="18"/>
      <c r="R344" s="18"/>
      <c r="S344" s="102"/>
      <c r="T344" s="391"/>
      <c r="U344" s="50"/>
      <c r="V344" s="391"/>
      <c r="W344" s="391"/>
      <c r="X344" s="391"/>
      <c r="Y344" s="391"/>
      <c r="Z344" s="50"/>
      <c r="AA344" s="18"/>
      <c r="AB344" s="18"/>
      <c r="AC344" s="18"/>
      <c r="AD344" s="18"/>
      <c r="AE344" s="18"/>
      <c r="AF344" s="18"/>
      <c r="AG344" s="18"/>
      <c r="AH344" s="18"/>
      <c r="AI344" s="18"/>
      <c r="AJ344" s="18"/>
      <c r="AK344" s="18"/>
      <c r="AL344" s="50"/>
    </row>
    <row r="345" spans="1:53" ht="13.2">
      <c r="A345" s="2091" t="s">
        <v>546</v>
      </c>
      <c r="B345" s="2091"/>
      <c r="C345" s="2091"/>
      <c r="D345" s="2091"/>
      <c r="E345" s="2091"/>
      <c r="F345" s="2091"/>
      <c r="G345" s="2091"/>
      <c r="H345" s="2091"/>
      <c r="I345" s="2091"/>
      <c r="J345" s="2091"/>
      <c r="K345" s="2091"/>
      <c r="L345" s="2091"/>
      <c r="M345" s="2091"/>
      <c r="N345" s="2091"/>
      <c r="O345" s="2091"/>
      <c r="P345" s="2091"/>
      <c r="Q345" s="2091"/>
      <c r="R345" s="2091"/>
      <c r="S345" s="2091"/>
      <c r="T345" s="2091"/>
      <c r="U345" s="2091"/>
      <c r="V345" s="2091"/>
      <c r="W345" s="2091"/>
      <c r="X345" s="2091"/>
      <c r="Y345" s="2091"/>
      <c r="Z345" s="2091"/>
      <c r="AA345" s="2091"/>
      <c r="AB345" s="2091"/>
      <c r="AC345" s="2091"/>
      <c r="AD345" s="2091"/>
      <c r="AE345" s="2091"/>
      <c r="AF345" s="2091"/>
      <c r="AG345" s="2091"/>
      <c r="AH345" s="2091"/>
      <c r="AI345" s="2091"/>
      <c r="AJ345" s="2091"/>
      <c r="AK345" s="2091"/>
      <c r="AL345" s="2091"/>
    </row>
    <row r="346" spans="1:53" ht="12.75" customHeight="1" thickBot="1">
      <c r="A346" s="2092"/>
      <c r="B346" s="2092"/>
      <c r="C346" s="2092"/>
      <c r="D346" s="2092"/>
      <c r="E346" s="2092"/>
      <c r="F346" s="2092"/>
      <c r="G346" s="2092"/>
      <c r="H346" s="2092"/>
      <c r="I346" s="2092"/>
      <c r="J346" s="2092"/>
      <c r="K346" s="2092"/>
      <c r="L346" s="2092"/>
      <c r="M346" s="2092"/>
      <c r="N346" s="2092"/>
      <c r="O346" s="2092"/>
      <c r="P346" s="2092"/>
      <c r="Q346" s="2092"/>
      <c r="R346" s="2092"/>
      <c r="S346" s="2092"/>
      <c r="T346" s="2092"/>
      <c r="U346" s="2092"/>
      <c r="V346" s="2092"/>
      <c r="W346" s="2092"/>
      <c r="X346" s="2092"/>
      <c r="Y346" s="2092"/>
      <c r="Z346" s="2092"/>
      <c r="AA346" s="2092"/>
      <c r="AB346" s="2092"/>
      <c r="AC346" s="2092"/>
      <c r="AD346" s="2092"/>
      <c r="AE346" s="2092"/>
      <c r="AF346" s="2092"/>
      <c r="AG346" s="2092"/>
      <c r="AH346" s="2092"/>
      <c r="AI346" s="2092"/>
      <c r="AJ346" s="2092"/>
      <c r="AK346" s="2092"/>
      <c r="AL346" s="2092"/>
    </row>
    <row r="347" spans="1:53" ht="13.8" thickTop="1">
      <c r="A347" s="35"/>
      <c r="B347" s="35"/>
      <c r="C347" s="35"/>
      <c r="D347" s="35"/>
      <c r="E347" s="35"/>
      <c r="F347" s="35"/>
      <c r="G347" s="3"/>
      <c r="H347" s="35"/>
      <c r="I347" s="74"/>
      <c r="J347" s="74"/>
      <c r="K347" s="80"/>
      <c r="L347" s="80"/>
      <c r="M347" s="80"/>
      <c r="N347" s="80"/>
      <c r="O347" s="80"/>
      <c r="P347" s="80"/>
      <c r="Q347" s="80"/>
      <c r="R347" s="80"/>
      <c r="S347" s="80"/>
      <c r="T347" s="80"/>
      <c r="U347" s="80"/>
      <c r="V347" s="80"/>
      <c r="W347" s="80"/>
      <c r="X347" s="80"/>
      <c r="Y347" s="80"/>
      <c r="Z347" s="80"/>
      <c r="AA347" s="80"/>
      <c r="AB347" s="80"/>
      <c r="AC347" s="80"/>
      <c r="AD347" s="80"/>
      <c r="AE347" s="80"/>
      <c r="AF347" s="80"/>
      <c r="AG347" s="80"/>
      <c r="AH347" s="80"/>
      <c r="AI347" s="80"/>
      <c r="AJ347" s="80"/>
      <c r="AK347" s="74"/>
      <c r="AL347" s="80"/>
    </row>
    <row r="348" spans="1:53" ht="13.2">
      <c r="A348" s="63" t="s">
        <v>719</v>
      </c>
      <c r="B348" s="63"/>
      <c r="C348" s="63" t="s">
        <v>590</v>
      </c>
      <c r="K348" s="35"/>
      <c r="L348" s="35"/>
    </row>
    <row r="349" spans="1:53" ht="12.75" customHeight="1">
      <c r="D349" s="16" t="s">
        <v>45</v>
      </c>
      <c r="M349" s="1786" t="s">
        <v>119</v>
      </c>
      <c r="N349" s="1786"/>
      <c r="P349" s="16" t="s">
        <v>2258</v>
      </c>
      <c r="AJ349" s="1786" t="s">
        <v>119</v>
      </c>
      <c r="AK349" s="1786"/>
    </row>
    <row r="350" spans="1:53" ht="12.75" customHeight="1">
      <c r="D350" s="72" t="s">
        <v>2161</v>
      </c>
      <c r="M350" s="1786" t="s">
        <v>119</v>
      </c>
      <c r="N350" s="1786"/>
      <c r="P350" s="72" t="s">
        <v>2259</v>
      </c>
      <c r="AJ350" s="1812">
        <v>0</v>
      </c>
      <c r="AK350" s="1812"/>
    </row>
    <row r="351" spans="1:53" ht="12.75" customHeight="1">
      <c r="D351" s="16" t="s">
        <v>349</v>
      </c>
      <c r="M351" s="1786" t="s">
        <v>136</v>
      </c>
      <c r="N351" s="1786"/>
      <c r="P351" s="16" t="s">
        <v>2260</v>
      </c>
      <c r="AJ351" s="1786" t="s">
        <v>119</v>
      </c>
      <c r="AK351" s="1786"/>
    </row>
    <row r="352" spans="1:53" ht="12.75" customHeight="1">
      <c r="D352" s="16" t="s">
        <v>350</v>
      </c>
      <c r="M352" s="1786" t="s">
        <v>136</v>
      </c>
      <c r="N352" s="1786"/>
      <c r="Q352" s="72"/>
    </row>
    <row r="353" spans="1:57" ht="12.75" customHeight="1">
      <c r="P353" s="597"/>
      <c r="Q353" s="596"/>
      <c r="R353" s="597"/>
    </row>
    <row r="354" spans="1:57" ht="12.75" customHeight="1"/>
    <row r="355" spans="1:57" ht="13.2">
      <c r="A355" s="63" t="s">
        <v>8</v>
      </c>
      <c r="B355" s="63"/>
      <c r="C355" s="63" t="s">
        <v>980</v>
      </c>
      <c r="D355" s="63"/>
    </row>
    <row r="356" spans="1:57" ht="13.2">
      <c r="D356" s="82" t="s">
        <v>995</v>
      </c>
      <c r="E356" s="83"/>
      <c r="F356" s="83"/>
      <c r="G356" s="83"/>
      <c r="H356" s="83"/>
      <c r="I356" s="83"/>
      <c r="J356" s="83"/>
      <c r="K356" s="83"/>
      <c r="L356" s="83"/>
      <c r="M356" s="83"/>
      <c r="N356" s="84"/>
      <c r="O356" s="84"/>
      <c r="P356" s="83"/>
      <c r="Q356" s="83"/>
      <c r="R356" s="83"/>
      <c r="S356" s="83"/>
      <c r="T356" s="83"/>
      <c r="U356" s="83"/>
      <c r="V356" s="83"/>
      <c r="W356" s="83"/>
      <c r="X356" s="83"/>
      <c r="Y356" s="83"/>
      <c r="Z356" s="83"/>
      <c r="AA356" s="83"/>
      <c r="AB356" s="83"/>
      <c r="AC356" s="83"/>
      <c r="AD356" s="83"/>
      <c r="AE356" s="83"/>
    </row>
    <row r="357" spans="1:57" ht="12.75" customHeight="1">
      <c r="D357" s="82" t="s">
        <v>996</v>
      </c>
      <c r="E357" s="83"/>
      <c r="F357" s="83"/>
      <c r="G357" s="83"/>
      <c r="H357" s="83"/>
      <c r="I357" s="83"/>
      <c r="J357" s="83"/>
      <c r="K357" s="83"/>
      <c r="L357" s="83"/>
      <c r="M357" s="83"/>
      <c r="N357" s="1786" t="s">
        <v>136</v>
      </c>
      <c r="O357" s="1786"/>
      <c r="P357" s="83"/>
      <c r="Q357" s="83"/>
      <c r="R357" s="83"/>
      <c r="S357" s="83"/>
      <c r="T357" s="83"/>
      <c r="U357" s="83"/>
      <c r="V357" s="83"/>
      <c r="W357" s="83"/>
      <c r="X357" s="83"/>
      <c r="Y357" s="84"/>
      <c r="Z357" s="84"/>
      <c r="AC357" s="83"/>
      <c r="AD357" s="83"/>
      <c r="AE357" s="83"/>
    </row>
    <row r="358" spans="1:57" ht="13.2">
      <c r="E358" s="16" t="s">
        <v>800</v>
      </c>
      <c r="Y358" s="1786" t="s">
        <v>136</v>
      </c>
      <c r="Z358" s="1786"/>
    </row>
    <row r="359" spans="1:57" ht="13.2">
      <c r="D359" s="16" t="s">
        <v>997</v>
      </c>
      <c r="E359" s="83"/>
      <c r="F359" s="83"/>
      <c r="G359" s="83"/>
      <c r="H359" s="83"/>
      <c r="I359" s="83"/>
      <c r="J359" s="84"/>
      <c r="K359" s="84"/>
      <c r="L359" s="83"/>
      <c r="M359" s="83"/>
      <c r="N359" s="83"/>
      <c r="O359" s="83"/>
      <c r="P359" s="83"/>
      <c r="Q359" s="83"/>
      <c r="R359" s="83"/>
      <c r="S359" s="83"/>
      <c r="T359" s="83"/>
      <c r="U359" s="83"/>
      <c r="V359" s="83"/>
      <c r="W359" s="83"/>
      <c r="X359" s="83"/>
      <c r="Y359" s="83"/>
      <c r="Z359" s="83"/>
      <c r="AA359" s="83"/>
      <c r="AB359" s="83"/>
      <c r="AC359" s="83"/>
      <c r="AD359" s="83"/>
      <c r="AE359" s="83"/>
    </row>
    <row r="360" spans="1:57" ht="13.2">
      <c r="D360" s="16" t="s">
        <v>998</v>
      </c>
      <c r="E360" s="83"/>
      <c r="F360" s="83"/>
      <c r="G360" s="83"/>
      <c r="H360" s="83"/>
      <c r="I360" s="83"/>
      <c r="J360" s="1786" t="s">
        <v>136</v>
      </c>
      <c r="K360" s="1786"/>
      <c r="L360" s="83"/>
      <c r="M360" s="83"/>
      <c r="N360" s="83"/>
      <c r="O360" s="83"/>
      <c r="P360" s="83"/>
      <c r="Q360" s="83"/>
      <c r="R360" s="83"/>
      <c r="S360" s="83"/>
      <c r="T360" s="83"/>
      <c r="U360" s="83"/>
      <c r="V360" s="83"/>
      <c r="W360" s="83"/>
      <c r="X360" s="83"/>
      <c r="Y360" s="83"/>
      <c r="Z360" s="83"/>
      <c r="AC360" s="83"/>
      <c r="AD360" s="83"/>
      <c r="AE360" s="83"/>
    </row>
    <row r="361" spans="1:57" ht="13.2">
      <c r="E361" s="1628" t="s">
        <v>351</v>
      </c>
      <c r="F361" s="1628"/>
      <c r="G361" s="1628"/>
      <c r="H361" s="1628"/>
      <c r="I361" s="1628"/>
      <c r="J361" s="1628"/>
      <c r="K361" s="1628"/>
      <c r="L361" s="1628"/>
      <c r="M361" s="1628"/>
      <c r="N361" s="1628"/>
      <c r="O361" s="1628"/>
      <c r="P361" s="1628"/>
      <c r="Q361" s="1628"/>
      <c r="R361" s="1628"/>
      <c r="S361" s="1628"/>
      <c r="T361" s="1628"/>
      <c r="U361" s="1628"/>
      <c r="V361" s="1628"/>
      <c r="W361" s="1628"/>
      <c r="X361" s="1628"/>
      <c r="Y361" s="1628"/>
      <c r="Z361" s="1628"/>
      <c r="AA361" s="1628"/>
      <c r="AB361" s="1628"/>
      <c r="AC361" s="1628"/>
      <c r="AD361" s="1628"/>
      <c r="AE361" s="1628"/>
      <c r="AF361" s="1628"/>
      <c r="AG361" s="1628"/>
      <c r="AH361" s="1628"/>
      <c r="BE361" s="16" t="s">
        <v>136</v>
      </c>
    </row>
    <row r="362" spans="1:57" ht="13.2">
      <c r="E362" s="1628"/>
      <c r="F362" s="1628"/>
      <c r="G362" s="1628"/>
      <c r="H362" s="1628"/>
      <c r="I362" s="1628"/>
      <c r="J362" s="1628"/>
      <c r="K362" s="1628"/>
      <c r="L362" s="1628"/>
      <c r="M362" s="1628"/>
      <c r="N362" s="1628"/>
      <c r="O362" s="1628"/>
      <c r="P362" s="1628"/>
      <c r="Q362" s="1628"/>
      <c r="R362" s="1628"/>
      <c r="S362" s="1628"/>
      <c r="T362" s="1628"/>
      <c r="U362" s="1628"/>
      <c r="V362" s="1628"/>
      <c r="W362" s="1628"/>
      <c r="X362" s="1628"/>
      <c r="Y362" s="1628"/>
      <c r="Z362" s="1628"/>
      <c r="AA362" s="1628"/>
      <c r="AB362" s="1628"/>
      <c r="AC362" s="1628"/>
      <c r="AD362" s="1628"/>
      <c r="AE362" s="1628"/>
      <c r="AF362" s="1628"/>
      <c r="AG362" s="1628"/>
      <c r="AH362" s="1628"/>
      <c r="BE362" s="16" t="s">
        <v>531</v>
      </c>
    </row>
    <row r="363" spans="1:57" ht="12.75" customHeight="1">
      <c r="E363" s="8" t="s">
        <v>656</v>
      </c>
      <c r="F363" s="8"/>
      <c r="G363" s="8"/>
      <c r="H363" s="8"/>
      <c r="I363" s="8"/>
      <c r="J363" s="8"/>
      <c r="K363" s="8"/>
      <c r="L363" s="8"/>
      <c r="N363" s="1866"/>
      <c r="O363" s="1866"/>
      <c r="P363" s="1866"/>
      <c r="Q363" s="1866"/>
      <c r="R363" s="8"/>
      <c r="U363" s="8" t="s">
        <v>657</v>
      </c>
      <c r="V363" s="8"/>
      <c r="W363" s="8"/>
      <c r="X363" s="8"/>
      <c r="Y363" s="8"/>
      <c r="Z363" s="8"/>
      <c r="AA363" s="8"/>
      <c r="AB363" s="8"/>
      <c r="AC363" s="1866"/>
      <c r="AD363" s="1866"/>
      <c r="AE363" s="1866"/>
      <c r="AF363" s="1866"/>
      <c r="BE363" s="16" t="s">
        <v>119</v>
      </c>
    </row>
    <row r="364" spans="1:57" ht="13.2">
      <c r="E364" s="8" t="s">
        <v>658</v>
      </c>
      <c r="F364" s="8"/>
      <c r="G364" s="8"/>
      <c r="H364" s="8"/>
      <c r="I364" s="8"/>
      <c r="J364" s="8"/>
      <c r="K364" s="8"/>
      <c r="L364" s="8"/>
      <c r="N364" s="1866"/>
      <c r="O364" s="1866"/>
      <c r="P364" s="1866"/>
      <c r="Q364" s="1866"/>
      <c r="R364" s="8"/>
      <c r="U364" s="8" t="s">
        <v>659</v>
      </c>
      <c r="V364" s="8"/>
      <c r="W364" s="8"/>
      <c r="X364" s="8"/>
      <c r="Y364" s="8"/>
      <c r="Z364" s="8"/>
      <c r="AA364" s="8"/>
      <c r="AB364" s="8"/>
      <c r="AC364" s="1866"/>
      <c r="AD364" s="1866"/>
      <c r="AE364" s="1866"/>
      <c r="AF364" s="1866"/>
    </row>
    <row r="365" spans="1:57" ht="12.75" customHeight="1">
      <c r="E365" s="8" t="s">
        <v>69</v>
      </c>
      <c r="F365" s="8"/>
      <c r="G365" s="8"/>
      <c r="H365" s="8"/>
      <c r="I365" s="8"/>
      <c r="J365" s="8"/>
      <c r="K365" s="8"/>
      <c r="L365" s="8"/>
      <c r="N365" s="1866"/>
      <c r="O365" s="1866"/>
      <c r="P365" s="1866"/>
      <c r="Q365" s="1866"/>
      <c r="R365" s="8"/>
      <c r="V365" s="8"/>
      <c r="W365" s="8"/>
      <c r="X365" s="8"/>
      <c r="Y365" s="8"/>
      <c r="Z365" s="8"/>
      <c r="AA365" s="8"/>
      <c r="AB365" s="8"/>
    </row>
    <row r="366" spans="1:57" ht="13.2">
      <c r="E366" s="8" t="s">
        <v>70</v>
      </c>
      <c r="F366" s="8"/>
      <c r="G366" s="8"/>
      <c r="H366" s="8"/>
      <c r="I366" s="8"/>
      <c r="J366" s="8"/>
      <c r="K366" s="8"/>
      <c r="L366" s="8"/>
      <c r="N366" s="2147"/>
      <c r="O366" s="2147"/>
      <c r="P366" s="2147"/>
      <c r="Q366" s="2147"/>
      <c r="R366" s="2147"/>
      <c r="S366" s="2147"/>
      <c r="T366" s="2147"/>
      <c r="U366" s="2147"/>
      <c r="V366" s="2147"/>
      <c r="W366" s="2147"/>
      <c r="X366" s="2147"/>
      <c r="Y366" s="2147"/>
      <c r="Z366" s="2147"/>
      <c r="AA366" s="2147"/>
      <c r="AB366" s="2147"/>
      <c r="AC366" s="2147"/>
      <c r="AD366" s="2147"/>
      <c r="AE366" s="2147"/>
      <c r="AF366" s="2147"/>
    </row>
    <row r="367" spans="1:57" ht="13.2">
      <c r="E367" s="8"/>
      <c r="F367" s="8"/>
      <c r="G367" s="8"/>
      <c r="H367" s="8"/>
      <c r="I367" s="8"/>
      <c r="J367" s="8"/>
      <c r="K367" s="8"/>
      <c r="L367" s="8"/>
      <c r="N367" s="2148"/>
      <c r="O367" s="2148"/>
      <c r="P367" s="2148"/>
      <c r="Q367" s="2148"/>
      <c r="R367" s="2148"/>
      <c r="S367" s="2148"/>
      <c r="T367" s="2148"/>
      <c r="U367" s="2148"/>
      <c r="V367" s="2148"/>
      <c r="W367" s="2148"/>
      <c r="X367" s="2148"/>
      <c r="Y367" s="2148"/>
      <c r="Z367" s="2148"/>
      <c r="AA367" s="2148"/>
      <c r="AB367" s="2148"/>
      <c r="AC367" s="2148"/>
      <c r="AD367" s="2148"/>
      <c r="AE367" s="2148"/>
      <c r="AF367" s="2148"/>
    </row>
    <row r="368" spans="1:57" ht="13.2">
      <c r="E368" s="8"/>
      <c r="F368" s="8"/>
      <c r="G368" s="8"/>
      <c r="H368" s="8"/>
      <c r="I368" s="8"/>
      <c r="J368" s="8"/>
      <c r="K368" s="8"/>
      <c r="L368" s="8"/>
    </row>
    <row r="369" spans="1:36" ht="12.75" customHeight="1">
      <c r="D369" s="595" t="s">
        <v>1367</v>
      </c>
      <c r="E369" s="595"/>
      <c r="F369" s="596"/>
      <c r="G369" s="596"/>
      <c r="H369" s="596"/>
      <c r="I369" s="596"/>
      <c r="J369" s="596"/>
      <c r="K369" s="596"/>
      <c r="L369" s="596"/>
      <c r="M369" s="597"/>
      <c r="N369" s="597"/>
      <c r="O369" s="597"/>
      <c r="P369" s="597"/>
      <c r="Q369" s="597"/>
      <c r="R369" s="597"/>
      <c r="S369" s="597"/>
      <c r="T369" s="597"/>
      <c r="U369" s="597"/>
      <c r="V369" s="597"/>
      <c r="W369" s="597"/>
      <c r="X369" s="597"/>
      <c r="Y369" s="597"/>
      <c r="Z369" s="597"/>
      <c r="AA369" s="597"/>
      <c r="AB369" s="597"/>
      <c r="AC369" s="597"/>
      <c r="AD369" s="597"/>
      <c r="AE369" s="597"/>
      <c r="AF369" s="597"/>
      <c r="AG369" s="597"/>
      <c r="AH369" s="597"/>
    </row>
    <row r="370" spans="1:36" ht="12.75" customHeight="1">
      <c r="D370" s="597"/>
      <c r="E370" s="596" t="s">
        <v>1368</v>
      </c>
      <c r="F370" s="596"/>
      <c r="G370" s="596"/>
      <c r="H370" s="596"/>
      <c r="I370" s="596"/>
      <c r="J370" s="596"/>
      <c r="K370" s="596"/>
      <c r="L370" s="596"/>
      <c r="M370" s="597"/>
      <c r="N370" s="782" t="s">
        <v>257</v>
      </c>
      <c r="O370" s="597"/>
      <c r="P370" s="782"/>
      <c r="Q370" s="782" t="s">
        <v>258</v>
      </c>
      <c r="R370" s="597"/>
      <c r="S370" s="1881"/>
      <c r="T370" s="1881"/>
      <c r="U370" s="781" t="s">
        <v>259</v>
      </c>
      <c r="V370" s="1881"/>
      <c r="W370" s="1881"/>
      <c r="X370" s="597"/>
      <c r="Y370" s="782" t="s">
        <v>257</v>
      </c>
      <c r="Z370" s="597"/>
      <c r="AA370" s="782"/>
      <c r="AB370" s="782" t="s">
        <v>258</v>
      </c>
      <c r="AC370" s="597"/>
      <c r="AD370" s="1881"/>
      <c r="AE370" s="1881"/>
      <c r="AF370" s="781" t="s">
        <v>259</v>
      </c>
      <c r="AG370" s="1881"/>
      <c r="AH370" s="1881"/>
    </row>
    <row r="371" spans="1:36" ht="12.75" customHeight="1">
      <c r="D371" s="597"/>
      <c r="E371" s="596" t="s">
        <v>1369</v>
      </c>
      <c r="F371" s="596"/>
      <c r="G371" s="596"/>
      <c r="H371" s="596"/>
      <c r="I371" s="596"/>
      <c r="J371" s="596"/>
      <c r="K371" s="596"/>
      <c r="L371" s="596"/>
      <c r="M371" s="597"/>
      <c r="N371" s="1881"/>
      <c r="O371" s="1881"/>
      <c r="P371" s="1881"/>
      <c r="Q371" s="597"/>
      <c r="R371" s="597"/>
      <c r="S371" s="597"/>
      <c r="T371" s="597"/>
      <c r="U371" s="597"/>
      <c r="V371" s="597"/>
      <c r="W371" s="597"/>
      <c r="X371" s="597"/>
      <c r="Y371" s="597"/>
      <c r="Z371" s="597"/>
      <c r="AA371" s="597"/>
      <c r="AB371" s="597"/>
      <c r="AC371" s="597"/>
      <c r="AD371" s="597"/>
      <c r="AE371" s="597"/>
      <c r="AF371" s="597"/>
      <c r="AG371" s="597"/>
      <c r="AH371" s="597"/>
    </row>
    <row r="372" spans="1:36" ht="12.75" customHeight="1">
      <c r="D372" s="597"/>
      <c r="E372" s="596" t="s">
        <v>1413</v>
      </c>
      <c r="F372" s="596"/>
      <c r="G372" s="596"/>
      <c r="H372" s="596"/>
      <c r="I372" s="596"/>
      <c r="J372" s="596"/>
      <c r="K372" s="596"/>
      <c r="L372" s="596"/>
      <c r="M372" s="597"/>
      <c r="N372" s="597"/>
      <c r="O372" s="597"/>
      <c r="P372" s="597"/>
      <c r="Q372" s="597"/>
      <c r="R372" s="597"/>
      <c r="S372" s="597"/>
      <c r="T372" s="597"/>
      <c r="U372" s="597"/>
      <c r="V372" s="597"/>
      <c r="W372" s="597"/>
      <c r="X372" s="597"/>
      <c r="Y372" s="597"/>
      <c r="Z372" s="597"/>
      <c r="AA372" s="597"/>
      <c r="AB372" s="597"/>
      <c r="AC372" s="597"/>
      <c r="AD372" s="597"/>
      <c r="AE372" s="597"/>
      <c r="AF372" s="597"/>
      <c r="AG372" s="1925" t="s">
        <v>136</v>
      </c>
      <c r="AH372" s="1925"/>
    </row>
    <row r="373" spans="1:36" ht="12.75" customHeight="1">
      <c r="D373" s="597"/>
      <c r="E373" s="596"/>
      <c r="F373" s="596"/>
      <c r="G373" s="596" t="s">
        <v>1445</v>
      </c>
      <c r="H373" s="596"/>
      <c r="I373" s="596"/>
      <c r="J373" s="596"/>
      <c r="K373" s="596"/>
      <c r="L373" s="596"/>
      <c r="M373" s="597"/>
      <c r="N373" s="597"/>
      <c r="O373" s="597"/>
      <c r="P373" s="597"/>
      <c r="Q373" s="597"/>
      <c r="R373" s="597"/>
      <c r="S373" s="597"/>
      <c r="T373" s="597"/>
      <c r="U373" s="597"/>
      <c r="V373" s="597"/>
      <c r="W373" s="597"/>
      <c r="X373" s="597"/>
      <c r="Y373" s="597"/>
      <c r="Z373" s="597"/>
      <c r="AA373" s="597"/>
      <c r="AB373" s="597"/>
      <c r="AC373" s="597"/>
      <c r="AD373" s="597"/>
      <c r="AE373" s="597"/>
      <c r="AF373" s="597"/>
      <c r="AG373" s="1925" t="s">
        <v>136</v>
      </c>
      <c r="AH373" s="1925"/>
    </row>
    <row r="374" spans="1:36" ht="12.75" customHeight="1">
      <c r="D374" s="597"/>
      <c r="E374" s="596"/>
      <c r="F374" s="596"/>
      <c r="G374" s="815" t="s">
        <v>1422</v>
      </c>
      <c r="H374" s="596"/>
      <c r="I374" s="596"/>
      <c r="J374" s="596"/>
      <c r="K374" s="596"/>
      <c r="L374" s="596"/>
      <c r="M374" s="597"/>
      <c r="N374" s="597"/>
      <c r="O374" s="597"/>
      <c r="P374" s="597"/>
      <c r="Q374" s="597"/>
      <c r="R374" s="597"/>
      <c r="S374" s="597"/>
      <c r="T374" s="597"/>
      <c r="U374" s="597"/>
      <c r="V374" s="1925" t="s">
        <v>136</v>
      </c>
      <c r="W374" s="1925"/>
      <c r="X374" s="597"/>
      <c r="Y374" s="746" t="s">
        <v>1370</v>
      </c>
      <c r="Z374" s="597"/>
      <c r="AA374" s="597"/>
      <c r="AB374" s="597"/>
      <c r="AC374" s="597"/>
      <c r="AD374" s="597"/>
      <c r="AE374" s="597"/>
      <c r="AF374" s="597"/>
      <c r="AG374" s="597"/>
      <c r="AH374" s="597"/>
    </row>
    <row r="375" spans="1:36" ht="12.75" customHeight="1">
      <c r="D375" s="597"/>
      <c r="E375" s="596" t="s">
        <v>1371</v>
      </c>
      <c r="F375" s="596"/>
      <c r="G375" s="596"/>
      <c r="H375" s="596"/>
      <c r="I375" s="596"/>
      <c r="J375" s="596"/>
      <c r="K375" s="596"/>
      <c r="L375" s="596"/>
      <c r="M375" s="597"/>
      <c r="N375" s="597"/>
      <c r="O375" s="597"/>
      <c r="P375" s="597"/>
      <c r="Q375" s="597"/>
      <c r="R375" s="597"/>
      <c r="S375" s="597"/>
      <c r="T375" s="597"/>
      <c r="U375" s="597"/>
      <c r="V375" s="1925" t="s">
        <v>136</v>
      </c>
      <c r="W375" s="1925"/>
      <c r="X375" s="597"/>
      <c r="Y375" s="596" t="s">
        <v>1372</v>
      </c>
      <c r="Z375" s="597"/>
      <c r="AA375" s="597"/>
      <c r="AB375" s="597"/>
      <c r="AC375" s="597"/>
      <c r="AD375" s="597"/>
      <c r="AE375" s="597"/>
      <c r="AF375" s="597"/>
      <c r="AG375" s="597"/>
      <c r="AH375" s="597"/>
    </row>
    <row r="376" spans="1:36" ht="12.75" customHeight="1">
      <c r="D376" s="597"/>
      <c r="E376" s="597"/>
      <c r="F376" s="597"/>
      <c r="G376" s="597"/>
      <c r="H376" s="597"/>
      <c r="I376" s="597"/>
      <c r="J376" s="597"/>
      <c r="K376" s="597"/>
      <c r="L376" s="597"/>
      <c r="M376" s="597"/>
      <c r="N376" s="597"/>
      <c r="O376" s="597"/>
      <c r="P376" s="597"/>
      <c r="Q376" s="597"/>
      <c r="R376" s="597"/>
      <c r="S376" s="597"/>
      <c r="T376" s="597"/>
      <c r="U376" s="597"/>
      <c r="V376" s="597"/>
      <c r="W376" s="597"/>
      <c r="X376" s="597"/>
      <c r="Y376" s="597"/>
      <c r="Z376" s="597"/>
      <c r="AA376" s="597"/>
      <c r="AB376" s="597"/>
      <c r="AC376" s="597"/>
      <c r="AD376" s="597"/>
      <c r="AE376" s="597"/>
      <c r="AF376" s="597"/>
      <c r="AG376" s="597"/>
      <c r="AH376" s="597"/>
    </row>
    <row r="377" spans="1:36" ht="12.75" customHeight="1">
      <c r="A377" s="63" t="s">
        <v>131</v>
      </c>
      <c r="B377" s="63"/>
      <c r="C377" s="63" t="s">
        <v>71</v>
      </c>
    </row>
    <row r="378" spans="1:36" ht="12.75" customHeight="1">
      <c r="D378" s="16" t="s">
        <v>303</v>
      </c>
      <c r="J378" s="1787" t="s">
        <v>2328</v>
      </c>
      <c r="K378" s="1788"/>
      <c r="L378" s="1788"/>
      <c r="M378" s="1788"/>
      <c r="N378" s="1788"/>
      <c r="O378" s="1788"/>
      <c r="P378" s="1788"/>
      <c r="Q378" s="1788"/>
      <c r="R378" s="1788"/>
      <c r="S378" s="1788"/>
      <c r="T378" s="1788"/>
      <c r="U378" s="1788"/>
      <c r="V378" s="18" t="s">
        <v>777</v>
      </c>
      <c r="W378" s="18"/>
      <c r="X378" s="18"/>
      <c r="Y378" s="18"/>
      <c r="Z378" s="18"/>
      <c r="AA378" s="18"/>
      <c r="AB378" s="18"/>
      <c r="AC378" s="1787" t="s">
        <v>2332</v>
      </c>
      <c r="AD378" s="1788"/>
      <c r="AE378" s="1788"/>
      <c r="AF378" s="1788"/>
      <c r="AG378" s="1788"/>
      <c r="AH378" s="1788"/>
      <c r="AI378" s="1788"/>
      <c r="AJ378" s="1788"/>
    </row>
    <row r="379" spans="1:36" ht="12.75" customHeight="1">
      <c r="D379" s="72" t="s">
        <v>2261</v>
      </c>
      <c r="J379" s="1797" t="s">
        <v>2332</v>
      </c>
      <c r="K379" s="1796"/>
      <c r="L379" s="1796"/>
      <c r="M379" s="1796"/>
      <c r="N379" s="1796"/>
      <c r="O379" s="1796"/>
      <c r="P379" s="1796"/>
      <c r="Q379" s="1796"/>
      <c r="R379" s="1796"/>
      <c r="S379" s="1796"/>
      <c r="T379" s="1796"/>
      <c r="U379" s="1796"/>
      <c r="V379" s="72" t="s">
        <v>2261</v>
      </c>
      <c r="W379" s="18"/>
      <c r="X379" s="18"/>
      <c r="Y379" s="18"/>
      <c r="Z379" s="18"/>
      <c r="AA379" s="18"/>
      <c r="AB379" s="18"/>
      <c r="AC379" s="1788"/>
      <c r="AD379" s="1788"/>
      <c r="AE379" s="1788"/>
      <c r="AF379" s="1788"/>
      <c r="AG379" s="1788"/>
      <c r="AH379" s="1788"/>
      <c r="AI379" s="1788"/>
      <c r="AJ379" s="1788"/>
    </row>
    <row r="380" spans="1:36" ht="12.75" customHeight="1">
      <c r="D380" s="72" t="s">
        <v>603</v>
      </c>
      <c r="J380" s="1797" t="s">
        <v>2333</v>
      </c>
      <c r="K380" s="1796"/>
      <c r="L380" s="1796"/>
      <c r="M380" s="1796"/>
      <c r="N380" s="1796"/>
      <c r="O380" s="1796"/>
      <c r="P380" s="1796"/>
      <c r="Q380" s="1796"/>
      <c r="R380" s="1796"/>
      <c r="S380" s="1796"/>
      <c r="T380" s="1796"/>
      <c r="U380" s="1796"/>
      <c r="V380" s="72" t="s">
        <v>603</v>
      </c>
      <c r="W380" s="18"/>
      <c r="X380" s="18"/>
      <c r="Y380" s="18"/>
      <c r="Z380" s="18"/>
      <c r="AA380" s="18"/>
      <c r="AB380" s="18"/>
      <c r="AC380" s="1788"/>
      <c r="AD380" s="1788"/>
      <c r="AE380" s="1788"/>
      <c r="AF380" s="1788"/>
      <c r="AG380" s="1788"/>
      <c r="AH380" s="1788"/>
      <c r="AI380" s="1788"/>
      <c r="AJ380" s="1788"/>
    </row>
    <row r="381" spans="1:36" ht="12.75" customHeight="1">
      <c r="D381" s="750" t="s">
        <v>2262</v>
      </c>
      <c r="I381" s="102"/>
      <c r="J381" s="1776" t="s">
        <v>2342</v>
      </c>
      <c r="K381" s="1757"/>
      <c r="L381" s="1757"/>
      <c r="M381" s="1757"/>
      <c r="N381" s="1757"/>
      <c r="O381" s="1757"/>
      <c r="P381" s="1757"/>
      <c r="Q381" s="1757"/>
      <c r="R381" s="1757"/>
      <c r="S381" s="1757"/>
      <c r="T381" s="1757"/>
      <c r="U381" s="1757"/>
      <c r="V381" s="1788"/>
      <c r="W381" s="1788"/>
      <c r="X381" s="1788"/>
      <c r="Y381" s="1788"/>
      <c r="Z381" s="1788"/>
      <c r="AA381" s="1788"/>
      <c r="AB381" s="1788"/>
      <c r="AC381" s="1788"/>
      <c r="AD381" s="1788"/>
      <c r="AE381" s="1788"/>
      <c r="AF381" s="1788"/>
      <c r="AG381" s="1788"/>
      <c r="AH381" s="1788"/>
      <c r="AI381" s="1788"/>
      <c r="AJ381" s="1788"/>
    </row>
    <row r="382" spans="1:36" ht="12.75" customHeight="1">
      <c r="D382" s="16" t="s">
        <v>614</v>
      </c>
      <c r="Q382" s="1897"/>
      <c r="R382" s="1897"/>
      <c r="S382" s="1897"/>
      <c r="T382" s="1897"/>
      <c r="U382" s="1897"/>
      <c r="V382" s="16" t="s">
        <v>185</v>
      </c>
      <c r="AI382" s="1786" t="s">
        <v>119</v>
      </c>
      <c r="AJ382" s="1786"/>
    </row>
    <row r="383" spans="1:36" ht="12.75" customHeight="1">
      <c r="D383" s="16" t="s">
        <v>615</v>
      </c>
      <c r="Q383" s="1922"/>
      <c r="R383" s="1923"/>
      <c r="S383" s="1923"/>
      <c r="T383" s="1923"/>
      <c r="U383" s="1923"/>
      <c r="W383" s="43" t="s">
        <v>20</v>
      </c>
      <c r="AG383" s="1900"/>
      <c r="AH383" s="1900"/>
      <c r="AI383" s="1900"/>
      <c r="AJ383" s="1900"/>
    </row>
    <row r="384" spans="1:36" ht="12.75" customHeight="1">
      <c r="D384" s="16" t="s">
        <v>302</v>
      </c>
      <c r="Q384" s="2128">
        <v>1142000</v>
      </c>
      <c r="R384" s="2128"/>
      <c r="S384" s="2128"/>
      <c r="T384" s="2128"/>
      <c r="U384" s="2128"/>
      <c r="V384" s="72" t="s">
        <v>2263</v>
      </c>
      <c r="AG384" s="2184"/>
      <c r="AH384" s="2184"/>
      <c r="AI384" s="2184"/>
      <c r="AJ384" s="2184"/>
    </row>
    <row r="385" spans="4:36" ht="12.75" customHeight="1">
      <c r="D385" s="16" t="s">
        <v>419</v>
      </c>
      <c r="I385" s="1898" t="s">
        <v>2405</v>
      </c>
      <c r="J385" s="1898"/>
      <c r="K385" s="1898"/>
      <c r="L385" s="1898"/>
      <c r="M385" s="1898"/>
      <c r="N385" s="1898"/>
      <c r="Q385" s="326" t="s">
        <v>900</v>
      </c>
      <c r="S385" s="1899"/>
      <c r="T385" s="1899"/>
      <c r="U385" s="1899"/>
      <c r="V385" s="16" t="s">
        <v>19</v>
      </c>
      <c r="AI385" s="1786" t="s">
        <v>531</v>
      </c>
      <c r="AJ385" s="1786"/>
    </row>
    <row r="386" spans="4:36" s="50" customFormat="1" ht="12.75" customHeight="1">
      <c r="D386" s="16" t="s">
        <v>186</v>
      </c>
      <c r="E386" s="16"/>
      <c r="F386" s="16"/>
      <c r="G386" s="16"/>
      <c r="H386" s="16"/>
      <c r="I386" s="16"/>
      <c r="J386" s="16"/>
      <c r="K386" s="16"/>
      <c r="L386" s="16"/>
      <c r="M386" s="16"/>
      <c r="N386" s="16"/>
      <c r="O386" s="16"/>
      <c r="P386" s="16"/>
      <c r="Q386" s="1754"/>
      <c r="R386" s="1754"/>
      <c r="S386" s="1754"/>
      <c r="T386" s="1754"/>
      <c r="U386" s="1754"/>
      <c r="V386" s="16" t="s">
        <v>187</v>
      </c>
      <c r="W386" s="16"/>
      <c r="X386" s="16"/>
      <c r="Y386" s="16"/>
      <c r="Z386" s="16"/>
      <c r="AA386" s="16"/>
      <c r="AB386" s="16"/>
      <c r="AC386" s="16"/>
      <c r="AD386" s="16"/>
      <c r="AE386" s="16"/>
      <c r="AF386" s="16"/>
      <c r="AG386" s="1900"/>
      <c r="AH386" s="1900"/>
      <c r="AI386" s="1900"/>
      <c r="AJ386" s="1900"/>
    </row>
    <row r="387" spans="4:36" s="50" customFormat="1" ht="12.75" customHeight="1">
      <c r="D387" s="16" t="s">
        <v>29</v>
      </c>
      <c r="E387" s="16"/>
      <c r="F387" s="16"/>
      <c r="G387" s="16"/>
      <c r="H387" s="16"/>
      <c r="I387" s="16"/>
      <c r="J387" s="16"/>
      <c r="K387" s="16"/>
      <c r="L387" s="16"/>
      <c r="M387" s="16"/>
      <c r="N387" s="16"/>
      <c r="O387" s="16"/>
      <c r="P387" s="16"/>
      <c r="Q387" s="1901">
        <v>1.2800000000000001E-2</v>
      </c>
      <c r="R387" s="1901"/>
      <c r="S387" s="1901"/>
      <c r="T387" s="1901"/>
      <c r="U387" s="1901"/>
      <c r="V387" s="16" t="s">
        <v>1899</v>
      </c>
      <c r="W387" s="16"/>
      <c r="X387" s="16"/>
      <c r="Y387" s="16"/>
      <c r="Z387" s="16"/>
      <c r="AA387" s="16"/>
      <c r="AB387" s="16"/>
      <c r="AC387" s="16"/>
      <c r="AD387" s="16"/>
      <c r="AE387" s="16"/>
      <c r="AF387" s="16"/>
      <c r="AG387" s="1900"/>
      <c r="AH387" s="1900"/>
      <c r="AI387" s="1900"/>
      <c r="AJ387" s="1900"/>
    </row>
    <row r="388" spans="4:36" s="50" customFormat="1" ht="12.75" customHeight="1">
      <c r="D388" s="16" t="s">
        <v>2264</v>
      </c>
      <c r="E388" s="16"/>
      <c r="F388" s="16"/>
      <c r="G388" s="16"/>
      <c r="H388" s="16"/>
      <c r="I388" s="16"/>
      <c r="J388" s="16"/>
      <c r="K388" s="16"/>
      <c r="L388" s="16"/>
      <c r="M388" s="16"/>
      <c r="N388" s="16"/>
      <c r="O388" s="16"/>
      <c r="P388" s="16"/>
      <c r="Q388" s="16"/>
      <c r="R388" s="16"/>
      <c r="S388" s="16"/>
      <c r="T388" s="16"/>
      <c r="U388" s="16"/>
      <c r="V388" s="16"/>
      <c r="W388" s="16"/>
      <c r="X388" s="16"/>
      <c r="Y388" s="16"/>
      <c r="Z388" s="16"/>
      <c r="AA388" s="16"/>
      <c r="AB388" s="16"/>
      <c r="AC388" s="16"/>
      <c r="AD388" s="16"/>
      <c r="AE388" s="16"/>
      <c r="AF388" s="16"/>
      <c r="AG388" s="1900"/>
      <c r="AH388" s="1900"/>
      <c r="AI388" s="1900"/>
      <c r="AJ388" s="1900"/>
    </row>
    <row r="389" spans="4:36" s="50" customFormat="1" ht="12.75" customHeight="1">
      <c r="D389" s="16"/>
      <c r="E389" s="16"/>
      <c r="F389" s="16"/>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c r="AF389" s="16"/>
      <c r="AG389" s="1432"/>
      <c r="AH389" s="1432"/>
      <c r="AI389" s="1432"/>
      <c r="AJ389" s="1432"/>
    </row>
    <row r="390" spans="4:36" s="50" customFormat="1" ht="12.75" customHeight="1">
      <c r="D390" s="72" t="s">
        <v>2265</v>
      </c>
      <c r="E390" s="16"/>
      <c r="F390" s="16"/>
      <c r="G390" s="16"/>
      <c r="H390" s="16"/>
      <c r="I390" s="16"/>
      <c r="J390" s="16"/>
      <c r="K390" s="16"/>
      <c r="L390" s="16"/>
      <c r="M390" s="16"/>
      <c r="N390" s="16"/>
      <c r="O390" s="16"/>
      <c r="P390" s="16"/>
      <c r="Q390" s="16"/>
      <c r="R390" s="16"/>
      <c r="S390" s="16"/>
      <c r="T390" s="16"/>
      <c r="U390" s="16"/>
      <c r="V390" s="16"/>
      <c r="W390" s="16"/>
      <c r="X390" s="16"/>
      <c r="Y390" s="16"/>
      <c r="Z390" s="16"/>
      <c r="AA390" s="16"/>
      <c r="AB390" s="16"/>
      <c r="AC390" s="16"/>
      <c r="AD390" s="16"/>
      <c r="AE390" s="16"/>
      <c r="AF390" s="16"/>
      <c r="AG390" s="1432"/>
      <c r="AH390" s="1432"/>
      <c r="AI390" s="1786" t="s">
        <v>531</v>
      </c>
      <c r="AJ390" s="1786"/>
    </row>
    <row r="391" spans="4:36" s="50" customFormat="1" ht="12.75" customHeight="1">
      <c r="D391" s="72" t="s">
        <v>2266</v>
      </c>
      <c r="E391" s="16"/>
      <c r="F391" s="16"/>
      <c r="G391" s="16"/>
      <c r="H391" s="16"/>
      <c r="I391" s="16"/>
      <c r="J391" s="16"/>
      <c r="K391" s="16"/>
      <c r="L391" s="16"/>
      <c r="M391" s="16"/>
      <c r="N391" s="16"/>
      <c r="O391" s="16"/>
      <c r="P391" s="16"/>
      <c r="Q391" s="16"/>
      <c r="R391" s="16"/>
      <c r="S391" s="16"/>
      <c r="T391" s="1882"/>
      <c r="U391" s="1882"/>
      <c r="V391" s="1882"/>
      <c r="W391" s="1882"/>
      <c r="X391" s="1882"/>
      <c r="Y391" s="1882"/>
      <c r="Z391" s="1882"/>
      <c r="AA391" s="1882"/>
      <c r="AB391" s="1882"/>
      <c r="AC391" s="1882"/>
      <c r="AD391" s="1882"/>
      <c r="AE391" s="1882"/>
      <c r="AF391" s="1882"/>
      <c r="AG391" s="1882"/>
      <c r="AH391" s="1882"/>
      <c r="AI391" s="1882"/>
      <c r="AJ391" s="1882"/>
    </row>
    <row r="392" spans="4:36" s="50" customFormat="1" ht="12.75" customHeight="1">
      <c r="D392" s="72" t="s">
        <v>2267</v>
      </c>
      <c r="E392" s="16"/>
      <c r="F392" s="16"/>
      <c r="G392" s="16"/>
      <c r="H392" s="16"/>
      <c r="I392" s="16"/>
      <c r="J392" s="16"/>
      <c r="K392" s="16"/>
      <c r="L392" s="16"/>
      <c r="M392" s="16"/>
      <c r="N392" s="16"/>
      <c r="O392" s="16"/>
      <c r="P392" s="16"/>
      <c r="Q392" s="16"/>
      <c r="R392" s="16"/>
      <c r="S392" s="16"/>
      <c r="T392" s="1882"/>
      <c r="U392" s="1882"/>
      <c r="V392" s="1882"/>
      <c r="W392" s="1882"/>
      <c r="X392" s="1882"/>
      <c r="Y392" s="1882"/>
      <c r="Z392" s="1882"/>
      <c r="AA392" s="1882"/>
      <c r="AB392" s="1882"/>
      <c r="AC392" s="1882"/>
      <c r="AD392" s="1882"/>
      <c r="AE392" s="1882"/>
      <c r="AF392" s="1882"/>
      <c r="AG392" s="1882"/>
      <c r="AH392" s="1882"/>
      <c r="AI392" s="1882"/>
      <c r="AJ392" s="1882"/>
    </row>
    <row r="393" spans="4:36" s="50" customFormat="1" ht="12.75" customHeight="1">
      <c r="D393" s="16"/>
      <c r="E393" s="16"/>
      <c r="F393" s="16"/>
      <c r="G393" s="16"/>
      <c r="H393" s="16"/>
      <c r="I393" s="16"/>
      <c r="J393" s="16"/>
      <c r="K393" s="16"/>
      <c r="L393" s="16"/>
      <c r="M393" s="16"/>
      <c r="N393" s="16"/>
      <c r="O393" s="16"/>
      <c r="P393" s="16"/>
      <c r="Q393" s="16"/>
      <c r="R393" s="16"/>
      <c r="S393" s="16"/>
      <c r="T393" s="16"/>
      <c r="U393" s="16"/>
      <c r="V393" s="16"/>
      <c r="W393" s="16"/>
      <c r="X393" s="16"/>
      <c r="Y393" s="16"/>
      <c r="Z393" s="16"/>
      <c r="AA393" s="16"/>
      <c r="AG393" s="1432"/>
      <c r="AH393" s="1432"/>
      <c r="AI393" s="1432"/>
      <c r="AJ393" s="1432"/>
    </row>
    <row r="394" spans="4:36" s="50" customFormat="1" ht="12.75" customHeight="1">
      <c r="D394" s="72" t="s">
        <v>2268</v>
      </c>
      <c r="E394" s="16"/>
      <c r="F394" s="16"/>
      <c r="G394" s="16"/>
      <c r="H394" s="16"/>
      <c r="I394" s="16"/>
      <c r="J394" s="16"/>
      <c r="K394" s="16"/>
      <c r="L394" s="16"/>
      <c r="M394" s="16"/>
      <c r="N394" s="16"/>
      <c r="O394" s="16"/>
      <c r="P394" s="16"/>
      <c r="Q394" s="16"/>
      <c r="R394" s="16"/>
      <c r="S394" s="1882" t="s">
        <v>531</v>
      </c>
      <c r="T394" s="1882"/>
      <c r="U394" s="1882"/>
      <c r="V394" s="750" t="s">
        <v>2269</v>
      </c>
      <c r="W394" s="16"/>
      <c r="X394" s="16"/>
      <c r="Y394" s="16"/>
      <c r="Z394" s="16"/>
      <c r="AA394" s="16"/>
      <c r="AG394" s="1906"/>
      <c r="AH394" s="1906"/>
      <c r="AI394" s="1906"/>
      <c r="AJ394" s="1906"/>
    </row>
    <row r="395" spans="4:36" s="50" customFormat="1" ht="12.75" customHeight="1">
      <c r="D395" s="72" t="s">
        <v>2270</v>
      </c>
      <c r="E395" s="16"/>
      <c r="F395" s="16"/>
      <c r="G395" s="16"/>
      <c r="H395" s="16"/>
      <c r="I395" s="16"/>
      <c r="J395" s="16"/>
      <c r="K395" s="16"/>
      <c r="L395" s="16"/>
      <c r="M395" s="16"/>
      <c r="N395" s="16"/>
      <c r="O395" s="16"/>
      <c r="P395" s="16"/>
      <c r="Q395" s="16"/>
      <c r="R395" s="16"/>
      <c r="S395" s="1882" t="s">
        <v>136</v>
      </c>
      <c r="T395" s="1882"/>
      <c r="U395" s="1882"/>
      <c r="V395" s="750" t="s">
        <v>2271</v>
      </c>
      <c r="W395" s="16"/>
      <c r="X395" s="16"/>
      <c r="Y395" s="16"/>
      <c r="Z395" s="16"/>
      <c r="AA395" s="16"/>
      <c r="AE395" s="1907"/>
      <c r="AF395" s="1907"/>
      <c r="AG395" s="1907"/>
      <c r="AH395" s="1907"/>
      <c r="AI395" s="1907"/>
      <c r="AJ395" s="1907"/>
    </row>
    <row r="396" spans="4:36" s="50" customFormat="1" ht="12.75" customHeight="1">
      <c r="D396" s="72" t="s">
        <v>2272</v>
      </c>
      <c r="E396" s="16"/>
      <c r="F396" s="16"/>
      <c r="G396" s="16"/>
      <c r="H396" s="16"/>
      <c r="I396" s="16"/>
      <c r="J396" s="16"/>
      <c r="K396" s="1960"/>
      <c r="L396" s="1960"/>
      <c r="M396" s="1960"/>
      <c r="N396" s="1960"/>
      <c r="O396" s="1960"/>
      <c r="P396" s="1960"/>
      <c r="Q396" s="1960"/>
      <c r="R396" s="1960"/>
      <c r="S396" s="1960"/>
      <c r="T396" s="1960"/>
      <c r="U396" s="1960"/>
      <c r="V396" s="1960"/>
      <c r="W396" s="1960"/>
      <c r="X396" s="1960"/>
      <c r="Y396" s="1960"/>
      <c r="Z396" s="1960"/>
      <c r="AA396" s="1960"/>
      <c r="AB396" s="1960"/>
      <c r="AC396" s="1960"/>
      <c r="AD396" s="1960"/>
      <c r="AE396" s="1960"/>
      <c r="AF396" s="1960"/>
      <c r="AG396" s="1960"/>
      <c r="AH396" s="1960"/>
      <c r="AI396" s="1960"/>
      <c r="AJ396" s="1960"/>
    </row>
    <row r="397" spans="4:36" s="50" customFormat="1" ht="12.75" customHeight="1">
      <c r="D397" s="72" t="s">
        <v>2273</v>
      </c>
      <c r="E397" s="16"/>
      <c r="F397" s="16"/>
      <c r="G397" s="16"/>
      <c r="H397" s="16"/>
      <c r="I397" s="16"/>
      <c r="J397" s="16"/>
      <c r="K397" s="1960"/>
      <c r="L397" s="1960"/>
      <c r="M397" s="1960"/>
      <c r="N397" s="1960"/>
      <c r="O397" s="1960"/>
      <c r="P397" s="1960"/>
      <c r="Q397" s="1960"/>
      <c r="R397" s="1960"/>
      <c r="S397" s="1960"/>
      <c r="T397" s="1960"/>
      <c r="U397" s="1960"/>
      <c r="V397" s="1960"/>
      <c r="W397" s="1960"/>
      <c r="X397" s="1960"/>
      <c r="Y397" s="1960"/>
      <c r="Z397" s="1960"/>
      <c r="AA397" s="1960"/>
      <c r="AB397" s="1960"/>
      <c r="AC397" s="1960"/>
      <c r="AD397" s="1960"/>
      <c r="AE397" s="1960"/>
      <c r="AF397" s="1960"/>
      <c r="AG397" s="1960"/>
      <c r="AH397" s="1960"/>
      <c r="AI397" s="1960"/>
      <c r="AJ397" s="1960"/>
    </row>
    <row r="398" spans="4:36" s="50" customFormat="1" ht="12.75" customHeight="1">
      <c r="D398" s="327" t="s">
        <v>2274</v>
      </c>
      <c r="E398" s="1397"/>
      <c r="F398" s="1397"/>
      <c r="G398" s="1397"/>
      <c r="H398" s="1397"/>
      <c r="I398" s="1397"/>
      <c r="J398" s="1397"/>
      <c r="K398" s="1397"/>
      <c r="L398" s="1397"/>
      <c r="M398" s="1397"/>
      <c r="N398" s="1397"/>
      <c r="O398" s="1397"/>
      <c r="P398" s="1397"/>
      <c r="Q398" s="1397"/>
      <c r="R398" s="1397"/>
      <c r="S398" s="1961" t="s">
        <v>2275</v>
      </c>
      <c r="T398" s="1961"/>
      <c r="U398" s="1961"/>
      <c r="V398" s="1961"/>
      <c r="W398" s="1961"/>
      <c r="X398" s="1961"/>
      <c r="Y398" s="1961"/>
      <c r="Z398" s="1961"/>
      <c r="AA398" s="1961"/>
      <c r="AB398" s="1961"/>
      <c r="AC398" s="1961"/>
      <c r="AD398" s="1961"/>
      <c r="AE398" s="1961"/>
      <c r="AF398" s="1961"/>
      <c r="AG398" s="1961"/>
      <c r="AH398" s="1961"/>
      <c r="AI398" s="1961"/>
      <c r="AJ398" s="1961"/>
    </row>
    <row r="399" spans="4:36" s="50" customFormat="1" ht="12.75" customHeight="1">
      <c r="D399" s="1966" t="s">
        <v>2276</v>
      </c>
      <c r="E399" s="1966"/>
      <c r="F399" s="1966"/>
      <c r="G399" s="1966"/>
      <c r="H399" s="1966"/>
      <c r="I399" s="1966"/>
      <c r="J399" s="1966"/>
      <c r="K399" s="1966"/>
      <c r="L399" s="1966"/>
      <c r="M399" s="1966"/>
      <c r="N399" s="1966"/>
      <c r="O399" s="1966"/>
      <c r="P399" s="1966"/>
      <c r="Q399" s="1966"/>
      <c r="R399" s="1966"/>
      <c r="S399" s="1966"/>
      <c r="T399" s="1966"/>
      <c r="U399" s="1966"/>
      <c r="V399" s="1966"/>
      <c r="W399" s="1966"/>
      <c r="X399" s="1966"/>
      <c r="Y399" s="1966"/>
      <c r="Z399" s="1966"/>
      <c r="AA399" s="1966"/>
      <c r="AB399" s="1966"/>
      <c r="AC399" s="1966"/>
      <c r="AD399" s="1966"/>
      <c r="AE399" s="1966"/>
      <c r="AF399" s="1966"/>
      <c r="AG399" s="1966"/>
      <c r="AH399" s="1966"/>
      <c r="AI399" s="1966"/>
      <c r="AJ399" s="1966"/>
    </row>
    <row r="400" spans="4:36" s="50" customFormat="1" ht="12.75" customHeight="1">
      <c r="D400" s="1966"/>
      <c r="E400" s="1966"/>
      <c r="F400" s="1966"/>
      <c r="G400" s="1966"/>
      <c r="H400" s="1966"/>
      <c r="I400" s="1966"/>
      <c r="J400" s="1966"/>
      <c r="K400" s="1966"/>
      <c r="L400" s="1966"/>
      <c r="M400" s="1966"/>
      <c r="N400" s="1966"/>
      <c r="O400" s="1966"/>
      <c r="P400" s="1966"/>
      <c r="Q400" s="1966"/>
      <c r="R400" s="1966"/>
      <c r="S400" s="1966"/>
      <c r="T400" s="1966"/>
      <c r="U400" s="1966"/>
      <c r="V400" s="1966"/>
      <c r="W400" s="1966"/>
      <c r="X400" s="1966"/>
      <c r="Y400" s="1966"/>
      <c r="Z400" s="1966"/>
      <c r="AA400" s="1966"/>
      <c r="AB400" s="1966"/>
      <c r="AC400" s="1966"/>
      <c r="AD400" s="1966"/>
      <c r="AE400" s="1966"/>
      <c r="AF400" s="1966"/>
      <c r="AG400" s="1966"/>
      <c r="AH400" s="1966"/>
      <c r="AI400" s="1966"/>
      <c r="AJ400" s="1966"/>
    </row>
    <row r="401" spans="1:36" ht="12.75" customHeight="1">
      <c r="D401" s="50"/>
      <c r="E401" s="50"/>
      <c r="F401" s="50"/>
      <c r="G401" s="50"/>
      <c r="H401" s="50"/>
      <c r="I401" s="50"/>
      <c r="J401" s="50"/>
      <c r="K401" s="50"/>
      <c r="L401" s="50"/>
      <c r="M401" s="50"/>
      <c r="N401" s="50"/>
      <c r="O401" s="50"/>
      <c r="P401" s="50"/>
      <c r="Q401" s="50"/>
      <c r="R401" s="50"/>
      <c r="S401" s="50"/>
      <c r="T401" s="50"/>
      <c r="U401" s="50"/>
      <c r="V401" s="50"/>
      <c r="W401" s="50"/>
      <c r="X401" s="50"/>
      <c r="Y401" s="50"/>
      <c r="Z401" s="50"/>
      <c r="AA401" s="50"/>
      <c r="AB401" s="50"/>
      <c r="AC401" s="50"/>
      <c r="AD401" s="50"/>
      <c r="AE401" s="50"/>
      <c r="AF401" s="50"/>
      <c r="AG401" s="1432"/>
      <c r="AH401" s="1432"/>
      <c r="AI401" s="1432"/>
      <c r="AJ401" s="1432"/>
    </row>
    <row r="402" spans="1:36" ht="12.75" customHeight="1">
      <c r="A402" s="63" t="s">
        <v>134</v>
      </c>
      <c r="B402" s="63"/>
      <c r="C402" s="63" t="s">
        <v>1003</v>
      </c>
    </row>
    <row r="403" spans="1:36" ht="12.75" customHeight="1">
      <c r="C403" s="35"/>
      <c r="D403" s="63" t="s">
        <v>1962</v>
      </c>
      <c r="I403" s="1787" t="s">
        <v>2406</v>
      </c>
      <c r="J403" s="1787"/>
      <c r="K403" s="1787"/>
      <c r="L403" s="1787"/>
      <c r="M403" s="1787"/>
      <c r="N403" s="1787"/>
      <c r="O403" s="1787"/>
      <c r="P403" s="1787"/>
      <c r="Q403" s="1787"/>
      <c r="R403" s="1787"/>
      <c r="S403" s="1787"/>
      <c r="T403" s="1787"/>
      <c r="U403" s="1787"/>
      <c r="V403" s="1787"/>
      <c r="W403" s="1787"/>
      <c r="X403" s="1787"/>
      <c r="Y403" s="1787"/>
      <c r="Z403" s="1787"/>
      <c r="AA403" s="1787"/>
      <c r="AB403" s="1787"/>
      <c r="AC403" s="1787"/>
      <c r="AD403" s="1787"/>
    </row>
    <row r="404" spans="1:36" ht="12.75" customHeight="1">
      <c r="C404" s="35"/>
      <c r="E404" s="16" t="s">
        <v>938</v>
      </c>
      <c r="R404" s="1786" t="s">
        <v>119</v>
      </c>
      <c r="S404" s="1786"/>
      <c r="T404" s="16" t="s">
        <v>319</v>
      </c>
      <c r="AD404" s="1866">
        <v>3</v>
      </c>
      <c r="AE404" s="1866"/>
    </row>
    <row r="405" spans="1:36" ht="12.75" customHeight="1">
      <c r="C405" s="35"/>
      <c r="E405" s="16" t="s">
        <v>939</v>
      </c>
      <c r="R405" s="1786" t="s">
        <v>136</v>
      </c>
      <c r="S405" s="1786"/>
      <c r="T405" s="16" t="s">
        <v>319</v>
      </c>
      <c r="AD405" s="1866">
        <v>0</v>
      </c>
      <c r="AE405" s="1866"/>
    </row>
    <row r="406" spans="1:36" ht="12.75" customHeight="1">
      <c r="E406" s="16" t="s">
        <v>940</v>
      </c>
      <c r="S406" s="1786" t="s">
        <v>136</v>
      </c>
      <c r="T406" s="1786"/>
    </row>
    <row r="407" spans="1:36" ht="12.75" customHeight="1">
      <c r="E407" s="16" t="s">
        <v>311</v>
      </c>
      <c r="H407" s="1978" t="s">
        <v>2407</v>
      </c>
      <c r="I407" s="1978"/>
      <c r="J407" s="1978"/>
      <c r="K407" s="1978"/>
      <c r="L407" s="1978"/>
      <c r="M407" s="1978"/>
      <c r="N407" s="1978"/>
      <c r="O407" s="1978"/>
      <c r="P407" s="1978"/>
      <c r="Q407" s="1978"/>
      <c r="R407" s="1978"/>
      <c r="S407" s="1978"/>
      <c r="T407" s="1978"/>
      <c r="U407" s="1978"/>
      <c r="V407" s="1978"/>
      <c r="W407" s="1978"/>
      <c r="X407" s="1978"/>
      <c r="Y407" s="1978"/>
      <c r="Z407" s="1978"/>
      <c r="AA407" s="1978"/>
      <c r="AB407" s="1978"/>
      <c r="AC407" s="1978"/>
      <c r="AD407" s="1978"/>
      <c r="AE407" s="1978"/>
      <c r="AF407" s="1978"/>
      <c r="AG407" s="1978"/>
      <c r="AH407" s="1978"/>
      <c r="AI407" s="1978"/>
      <c r="AJ407" s="1978"/>
    </row>
    <row r="408" spans="1:36" ht="12.75" customHeight="1">
      <c r="H408" s="1979"/>
      <c r="I408" s="1979"/>
      <c r="J408" s="1979"/>
      <c r="K408" s="1979"/>
      <c r="L408" s="1979"/>
      <c r="M408" s="1979"/>
      <c r="N408" s="1979"/>
      <c r="O408" s="1979"/>
      <c r="P408" s="1979"/>
      <c r="Q408" s="1979"/>
      <c r="R408" s="1979"/>
      <c r="S408" s="1979"/>
      <c r="T408" s="1979"/>
      <c r="U408" s="1979"/>
      <c r="V408" s="1979"/>
      <c r="W408" s="1979"/>
      <c r="X408" s="1979"/>
      <c r="Y408" s="1979"/>
      <c r="Z408" s="1979"/>
      <c r="AA408" s="1979"/>
      <c r="AB408" s="1979"/>
      <c r="AC408" s="1979"/>
      <c r="AD408" s="1979"/>
      <c r="AE408" s="1979"/>
      <c r="AF408" s="1979"/>
      <c r="AG408" s="1979"/>
      <c r="AH408" s="1979"/>
      <c r="AI408" s="1979"/>
      <c r="AJ408" s="1979"/>
    </row>
    <row r="409" spans="1:36" ht="12.75" customHeight="1"/>
    <row r="410" spans="1:36" ht="12.75" customHeight="1">
      <c r="A410" s="63" t="s">
        <v>135</v>
      </c>
      <c r="B410" s="63"/>
      <c r="C410" s="63"/>
      <c r="D410" s="63" t="s">
        <v>1006</v>
      </c>
      <c r="AE410" s="8"/>
      <c r="AF410" s="63" t="s">
        <v>1346</v>
      </c>
    </row>
    <row r="411" spans="1:36" ht="12.75" customHeight="1">
      <c r="E411" s="1890"/>
      <c r="F411" s="1890"/>
      <c r="G411" s="1890"/>
      <c r="H411" s="33" t="s">
        <v>1007</v>
      </c>
      <c r="I411" s="1890"/>
      <c r="J411" s="1890"/>
      <c r="K411" s="1890"/>
      <c r="L411" s="16" t="s">
        <v>1008</v>
      </c>
      <c r="N411" s="240" t="s">
        <v>933</v>
      </c>
      <c r="P411" s="2086">
        <v>0.83</v>
      </c>
      <c r="Q411" s="2086"/>
      <c r="R411" s="2086"/>
      <c r="S411" s="16" t="s">
        <v>1009</v>
      </c>
      <c r="W411" s="2146">
        <f>IF(E411&gt;0,(E411*I411),(P411*43560))</f>
        <v>36154.799999999996</v>
      </c>
      <c r="X411" s="2146"/>
      <c r="Y411" s="2146"/>
      <c r="Z411" s="16" t="s">
        <v>1010</v>
      </c>
      <c r="AF411" s="1891">
        <f>IF(P411&gt;0,(AG430/P411),(AG430/(W411/43560)))</f>
        <v>49.397590361445786</v>
      </c>
      <c r="AG411" s="1891"/>
      <c r="AH411" s="1891"/>
    </row>
    <row r="412" spans="1:36" ht="12.75" customHeight="1">
      <c r="E412" s="16" t="s">
        <v>224</v>
      </c>
    </row>
    <row r="413" spans="1:36" ht="12.75" customHeight="1">
      <c r="E413" s="2064"/>
      <c r="F413" s="2064"/>
      <c r="G413" s="2064"/>
      <c r="H413" s="2064"/>
      <c r="I413" s="2064"/>
      <c r="J413" s="2064"/>
      <c r="K413" s="2064"/>
      <c r="L413" s="2064"/>
      <c r="M413" s="2064"/>
      <c r="N413" s="2064"/>
      <c r="O413" s="2064"/>
      <c r="P413" s="2064"/>
      <c r="Q413" s="2064"/>
      <c r="R413" s="2064"/>
      <c r="S413" s="2064"/>
      <c r="T413" s="2064"/>
      <c r="U413" s="2064"/>
      <c r="V413" s="2064"/>
      <c r="W413" s="2064"/>
      <c r="X413" s="2064"/>
      <c r="Y413" s="2064"/>
      <c r="Z413" s="2064"/>
      <c r="AA413" s="2064"/>
      <c r="AB413" s="2064"/>
      <c r="AC413" s="2064"/>
      <c r="AD413" s="2064"/>
      <c r="AE413" s="2064"/>
      <c r="AF413" s="2064"/>
      <c r="AG413" s="2064"/>
      <c r="AH413" s="2064"/>
      <c r="AI413" s="2064"/>
      <c r="AJ413" s="2064"/>
    </row>
    <row r="414" spans="1:36" s="50" customFormat="1" ht="12.75" customHeight="1">
      <c r="E414" s="412" t="s">
        <v>2277</v>
      </c>
      <c r="F414" s="59"/>
      <c r="G414" s="59"/>
      <c r="H414" s="59"/>
      <c r="I414" s="1967"/>
      <c r="J414" s="1967"/>
      <c r="K414" s="1967"/>
      <c r="L414" s="59"/>
      <c r="M414" s="412"/>
      <c r="N414" s="59"/>
      <c r="O414" s="59"/>
      <c r="P414" s="1889" t="e">
        <f>(CQ627+CS632+CQ646)/I414</f>
        <v>#DIV/0!</v>
      </c>
      <c r="Q414" s="1889"/>
      <c r="R414" s="1889"/>
      <c r="S414" s="412" t="s">
        <v>2278</v>
      </c>
      <c r="T414" s="59"/>
      <c r="U414" s="59"/>
      <c r="V414" s="59"/>
      <c r="W414" s="59"/>
      <c r="X414" s="59"/>
      <c r="Y414" s="1489"/>
      <c r="Z414" s="1489"/>
      <c r="AA414" s="1489"/>
      <c r="AB414" s="1489"/>
      <c r="AC414" s="1489"/>
      <c r="AD414" s="1489"/>
      <c r="AE414" s="1489"/>
      <c r="AF414" s="1489"/>
      <c r="AG414" s="1489"/>
      <c r="AH414" s="1489"/>
      <c r="AI414" s="1489"/>
      <c r="AJ414" s="1489"/>
    </row>
    <row r="415" spans="1:36" ht="12.75" customHeight="1"/>
    <row r="416" spans="1:36" ht="12.75" customHeight="1">
      <c r="A416" s="63" t="s">
        <v>137</v>
      </c>
      <c r="B416" s="63"/>
      <c r="C416" s="63"/>
      <c r="D416" s="63" t="s">
        <v>1012</v>
      </c>
    </row>
    <row r="417" spans="1:36" ht="12.75" customHeight="1">
      <c r="E417" s="16" t="s">
        <v>500</v>
      </c>
      <c r="P417" s="1786">
        <v>3</v>
      </c>
      <c r="Q417" s="1786"/>
      <c r="S417" s="16" t="s">
        <v>149</v>
      </c>
      <c r="AE417" s="1786">
        <v>3</v>
      </c>
      <c r="AF417" s="1786"/>
    </row>
    <row r="418" spans="1:36" ht="12.75" customHeight="1">
      <c r="E418" s="16" t="s">
        <v>150</v>
      </c>
      <c r="P418" s="1786">
        <v>0</v>
      </c>
      <c r="Q418" s="1786"/>
      <c r="S418" s="16" t="s">
        <v>793</v>
      </c>
      <c r="AE418" s="1786" t="s">
        <v>119</v>
      </c>
      <c r="AF418" s="1786"/>
    </row>
    <row r="419" spans="1:36" ht="13.2">
      <c r="F419" s="81" t="s">
        <v>247</v>
      </c>
    </row>
    <row r="420" spans="1:36" ht="13.2">
      <c r="F420" s="1942" t="s">
        <v>2408</v>
      </c>
      <c r="G420" s="1943"/>
      <c r="H420" s="1943"/>
      <c r="I420" s="1943"/>
      <c r="J420" s="1943"/>
      <c r="K420" s="1943"/>
      <c r="L420" s="1943"/>
      <c r="M420" s="1943"/>
      <c r="N420" s="1943"/>
      <c r="O420" s="1943"/>
      <c r="P420" s="1943"/>
      <c r="Q420" s="1943"/>
      <c r="R420" s="1943"/>
      <c r="S420" s="1943"/>
      <c r="T420" s="1943"/>
      <c r="U420" s="1943"/>
      <c r="V420" s="1943"/>
      <c r="W420" s="1943"/>
      <c r="X420" s="1943"/>
      <c r="Y420" s="1943"/>
      <c r="Z420" s="1943"/>
      <c r="AA420" s="1943"/>
      <c r="AB420" s="1943"/>
      <c r="AC420" s="1943"/>
      <c r="AD420" s="1943"/>
      <c r="AE420" s="1943"/>
      <c r="AF420" s="1943"/>
      <c r="AG420" s="1943"/>
      <c r="AH420" s="1943"/>
    </row>
    <row r="421" spans="1:36" ht="13.2">
      <c r="F421" s="1944"/>
      <c r="G421" s="1944"/>
      <c r="H421" s="1944"/>
      <c r="I421" s="1944"/>
      <c r="J421" s="1944"/>
      <c r="K421" s="1944"/>
      <c r="L421" s="1944"/>
      <c r="M421" s="1944"/>
      <c r="N421" s="1944"/>
      <c r="O421" s="1944"/>
      <c r="P421" s="1944"/>
      <c r="Q421" s="1944"/>
      <c r="R421" s="1944"/>
      <c r="S421" s="1944"/>
      <c r="T421" s="1944"/>
      <c r="U421" s="1944"/>
      <c r="V421" s="1944"/>
      <c r="W421" s="1944"/>
      <c r="X421" s="1944"/>
      <c r="Y421" s="1944"/>
      <c r="Z421" s="1944"/>
      <c r="AA421" s="1944"/>
      <c r="AB421" s="1944"/>
      <c r="AC421" s="1944"/>
      <c r="AD421" s="1944"/>
      <c r="AE421" s="1944"/>
      <c r="AF421" s="1944"/>
      <c r="AG421" s="1944"/>
      <c r="AH421" s="1944"/>
    </row>
    <row r="422" spans="1:36" ht="13.2">
      <c r="E422" s="16" t="s">
        <v>942</v>
      </c>
      <c r="N422" s="50"/>
      <c r="O422" s="50"/>
      <c r="P422" s="390"/>
      <c r="Q422" s="1786" t="s">
        <v>119</v>
      </c>
      <c r="R422" s="1786"/>
      <c r="S422" s="50"/>
      <c r="T422" s="50"/>
      <c r="U422" s="50"/>
      <c r="V422" s="50"/>
      <c r="W422" s="50"/>
      <c r="X422" s="50"/>
      <c r="Y422" s="50"/>
      <c r="Z422" s="50"/>
      <c r="AA422" s="50"/>
      <c r="AB422" s="50"/>
      <c r="AC422" s="50"/>
      <c r="AD422" s="50"/>
      <c r="AE422" s="390"/>
      <c r="AF422" s="390"/>
    </row>
    <row r="423" spans="1:36" ht="13.2">
      <c r="F423" s="16" t="s">
        <v>943</v>
      </c>
      <c r="N423" s="50"/>
      <c r="O423" s="50"/>
      <c r="P423" s="390"/>
      <c r="Q423" s="390"/>
      <c r="R423" s="50"/>
      <c r="S423" s="50"/>
      <c r="T423" s="50"/>
      <c r="U423" s="50"/>
      <c r="V423" s="50"/>
      <c r="W423" s="50"/>
      <c r="X423" s="50"/>
      <c r="Y423" s="50"/>
      <c r="Z423" s="50"/>
      <c r="AA423" s="50"/>
      <c r="AB423" s="50"/>
      <c r="AC423" s="50"/>
      <c r="AD423" s="50"/>
      <c r="AE423" s="1786" t="s">
        <v>136</v>
      </c>
      <c r="AF423" s="2065"/>
    </row>
    <row r="424" spans="1:36" ht="13.2">
      <c r="S424" s="35"/>
      <c r="T424" s="35"/>
    </row>
    <row r="425" spans="1:36" ht="12.75" customHeight="1">
      <c r="A425" s="63"/>
      <c r="B425" s="63"/>
      <c r="C425" s="63"/>
      <c r="E425" s="8" t="s">
        <v>87</v>
      </c>
      <c r="Z425" s="1786" t="s">
        <v>119</v>
      </c>
      <c r="AA425" s="1786"/>
      <c r="AH425" s="35"/>
      <c r="AI425" s="35"/>
    </row>
    <row r="426" spans="1:36" ht="12.75" customHeight="1">
      <c r="F426" s="82" t="s">
        <v>0</v>
      </c>
      <c r="G426" s="83"/>
      <c r="H426" s="83"/>
      <c r="I426" s="83"/>
      <c r="J426" s="83"/>
      <c r="K426" s="83"/>
      <c r="L426" s="83"/>
      <c r="M426" s="83"/>
      <c r="N426" s="83"/>
      <c r="O426" s="83"/>
      <c r="P426" s="83"/>
      <c r="Q426" s="83"/>
      <c r="R426" s="83"/>
      <c r="S426" s="83"/>
      <c r="T426" s="83"/>
      <c r="U426" s="83"/>
      <c r="V426" s="83"/>
      <c r="W426" s="83"/>
      <c r="AB426" s="83"/>
    </row>
    <row r="427" spans="1:36" ht="13.2">
      <c r="F427" s="16" t="s">
        <v>47</v>
      </c>
      <c r="G427" s="83"/>
      <c r="I427" s="83"/>
      <c r="J427" s="83"/>
      <c r="K427" s="83"/>
      <c r="L427" s="83"/>
      <c r="M427" s="83"/>
      <c r="N427" s="83"/>
      <c r="Q427" s="72"/>
      <c r="R427" s="83"/>
      <c r="S427" s="83"/>
      <c r="T427" s="83"/>
      <c r="U427" s="83"/>
      <c r="V427" s="83"/>
      <c r="W427" s="83"/>
      <c r="Z427" s="1786" t="s">
        <v>531</v>
      </c>
      <c r="AA427" s="1786"/>
    </row>
    <row r="428" spans="1:36" ht="12.75" customHeight="1">
      <c r="AG428" s="16">
        <v>0</v>
      </c>
    </row>
    <row r="429" spans="1:36" ht="12.75" customHeight="1">
      <c r="A429" s="63" t="s">
        <v>411</v>
      </c>
      <c r="B429" s="63"/>
      <c r="C429" s="63"/>
      <c r="D429" s="63" t="s">
        <v>189</v>
      </c>
      <c r="AF429" s="94"/>
    </row>
    <row r="430" spans="1:36" ht="12.75" customHeight="1">
      <c r="D430" s="2011" t="s">
        <v>400</v>
      </c>
      <c r="E430" s="1936"/>
      <c r="F430" s="1936"/>
      <c r="G430" s="1936"/>
      <c r="H430" s="1936"/>
      <c r="I430" s="1936"/>
      <c r="J430" s="1936"/>
      <c r="K430" s="1936"/>
      <c r="L430" s="1936"/>
      <c r="M430" s="1936"/>
      <c r="N430" s="1936"/>
      <c r="O430" s="1936"/>
      <c r="P430" s="1936"/>
      <c r="Q430" s="1936"/>
      <c r="R430" s="1936"/>
      <c r="S430" s="1936"/>
      <c r="T430" s="1936"/>
      <c r="U430" s="1936"/>
      <c r="V430" s="1936"/>
      <c r="W430" s="1936"/>
      <c r="X430" s="1936"/>
      <c r="Y430" s="1936"/>
      <c r="Z430" s="1936"/>
      <c r="AA430" s="1936"/>
      <c r="AB430" s="1936"/>
      <c r="AC430" s="1936"/>
      <c r="AD430" s="1936"/>
      <c r="AE430" s="1936"/>
      <c r="AF430" s="1937"/>
      <c r="AG430" s="1965">
        <v>41</v>
      </c>
      <c r="AH430" s="1965"/>
      <c r="AI430" s="1965"/>
      <c r="AJ430" s="1965"/>
    </row>
    <row r="431" spans="1:36" ht="12.75" customHeight="1">
      <c r="D431" s="1963" t="s">
        <v>1524</v>
      </c>
      <c r="E431" s="1884"/>
      <c r="F431" s="1884"/>
      <c r="G431" s="1884"/>
      <c r="H431" s="1884"/>
      <c r="I431" s="1884"/>
      <c r="J431" s="1884"/>
      <c r="K431" s="1884"/>
      <c r="L431" s="1884"/>
      <c r="M431" s="1884"/>
      <c r="N431" s="1884"/>
      <c r="O431" s="1884"/>
      <c r="P431" s="1884"/>
      <c r="Q431" s="1884"/>
      <c r="R431" s="1884"/>
      <c r="S431" s="1884"/>
      <c r="T431" s="1884"/>
      <c r="U431" s="1884"/>
      <c r="V431" s="1884"/>
      <c r="W431" s="1884"/>
      <c r="X431" s="1884"/>
      <c r="Y431" s="1884"/>
      <c r="Z431" s="1884"/>
      <c r="AA431" s="1884"/>
      <c r="AB431" s="1884"/>
      <c r="AC431" s="1884"/>
      <c r="AD431" s="1884"/>
      <c r="AE431" s="1884"/>
      <c r="AF431" s="1885"/>
      <c r="AG431" s="1945"/>
      <c r="AH431" s="1946"/>
      <c r="AI431" s="1946"/>
      <c r="AJ431" s="1946"/>
    </row>
    <row r="432" spans="1:36" ht="12.75" customHeight="1">
      <c r="D432" s="1963" t="s">
        <v>1525</v>
      </c>
      <c r="E432" s="1884"/>
      <c r="F432" s="1884"/>
      <c r="G432" s="1884"/>
      <c r="H432" s="1884"/>
      <c r="I432" s="1884"/>
      <c r="J432" s="1884"/>
      <c r="K432" s="1884"/>
      <c r="L432" s="1884"/>
      <c r="M432" s="1884"/>
      <c r="N432" s="1884"/>
      <c r="O432" s="1884"/>
      <c r="P432" s="1884"/>
      <c r="Q432" s="1884"/>
      <c r="R432" s="1884"/>
      <c r="S432" s="1884"/>
      <c r="T432" s="1884"/>
      <c r="U432" s="1884"/>
      <c r="V432" s="1884"/>
      <c r="W432" s="1884"/>
      <c r="X432" s="1884"/>
      <c r="Y432" s="1884"/>
      <c r="Z432" s="1884"/>
      <c r="AA432" s="1884"/>
      <c r="AB432" s="1884"/>
      <c r="AC432" s="1884"/>
      <c r="AD432" s="1884"/>
      <c r="AE432" s="1884"/>
      <c r="AF432" s="1885"/>
      <c r="AG432" s="1965">
        <v>40</v>
      </c>
      <c r="AH432" s="1965"/>
      <c r="AI432" s="1965"/>
      <c r="AJ432" s="1965"/>
    </row>
    <row r="433" spans="4:36" ht="12.75" customHeight="1">
      <c r="D433" s="1963" t="s">
        <v>1521</v>
      </c>
      <c r="E433" s="1884"/>
      <c r="F433" s="1884"/>
      <c r="G433" s="1884"/>
      <c r="H433" s="1884"/>
      <c r="I433" s="1884"/>
      <c r="J433" s="1884"/>
      <c r="K433" s="1884"/>
      <c r="L433" s="1884"/>
      <c r="M433" s="1884"/>
      <c r="N433" s="1884"/>
      <c r="O433" s="1884"/>
      <c r="P433" s="1884"/>
      <c r="Q433" s="1884"/>
      <c r="R433" s="1884"/>
      <c r="S433" s="1884"/>
      <c r="T433" s="1884"/>
      <c r="U433" s="1884"/>
      <c r="V433" s="1884"/>
      <c r="W433" s="1884"/>
      <c r="X433" s="1884"/>
      <c r="Y433" s="1884"/>
      <c r="Z433" s="1884"/>
      <c r="AA433" s="1884"/>
      <c r="AB433" s="1884"/>
      <c r="AC433" s="1884"/>
      <c r="AD433" s="1884"/>
      <c r="AE433" s="1884"/>
      <c r="AF433" s="1885"/>
      <c r="AG433" s="1965">
        <v>40</v>
      </c>
      <c r="AH433" s="1965"/>
      <c r="AI433" s="1965"/>
      <c r="AJ433" s="1965"/>
    </row>
    <row r="434" spans="4:36" ht="12.75" customHeight="1">
      <c r="D434" s="1963" t="s">
        <v>1526</v>
      </c>
      <c r="E434" s="1884"/>
      <c r="F434" s="1884"/>
      <c r="G434" s="1884"/>
      <c r="H434" s="1884"/>
      <c r="I434" s="1884"/>
      <c r="J434" s="1884"/>
      <c r="K434" s="1884"/>
      <c r="L434" s="1884"/>
      <c r="M434" s="1884"/>
      <c r="N434" s="1884"/>
      <c r="O434" s="1884"/>
      <c r="P434" s="1884"/>
      <c r="Q434" s="1884"/>
      <c r="R434" s="1884"/>
      <c r="S434" s="1884"/>
      <c r="T434" s="1884"/>
      <c r="U434" s="1884"/>
      <c r="V434" s="1884"/>
      <c r="W434" s="1884"/>
      <c r="X434" s="1884"/>
      <c r="Y434" s="1884"/>
      <c r="Z434" s="1884"/>
      <c r="AA434" s="1884"/>
      <c r="AB434" s="1884"/>
      <c r="AC434" s="1884"/>
      <c r="AD434" s="1884"/>
      <c r="AE434" s="1884"/>
      <c r="AF434" s="1885"/>
      <c r="AG434" s="1938">
        <f>IF(ISERROR(AG433/AG432),"",AG433/AG432)</f>
        <v>1</v>
      </c>
      <c r="AH434" s="1938"/>
      <c r="AI434" s="1938"/>
      <c r="AJ434" s="1938"/>
    </row>
    <row r="435" spans="4:36" ht="12.75" customHeight="1">
      <c r="D435" s="1963" t="s">
        <v>1523</v>
      </c>
      <c r="E435" s="1884"/>
      <c r="F435" s="1884"/>
      <c r="G435" s="1884"/>
      <c r="H435" s="1884"/>
      <c r="I435" s="1884"/>
      <c r="J435" s="1884"/>
      <c r="K435" s="1884"/>
      <c r="L435" s="1884"/>
      <c r="M435" s="1884"/>
      <c r="N435" s="1884"/>
      <c r="O435" s="1884"/>
      <c r="P435" s="1884"/>
      <c r="Q435" s="1884"/>
      <c r="R435" s="1884"/>
      <c r="S435" s="1884"/>
      <c r="T435" s="1884"/>
      <c r="U435" s="1884"/>
      <c r="V435" s="1884"/>
      <c r="W435" s="1884"/>
      <c r="X435" s="1884"/>
      <c r="Y435" s="1884"/>
      <c r="Z435" s="1884"/>
      <c r="AA435" s="1884"/>
      <c r="AB435" s="1884"/>
      <c r="AC435" s="1884"/>
      <c r="AD435" s="1884"/>
      <c r="AE435" s="1884"/>
      <c r="AF435" s="1885"/>
      <c r="AG435" s="1924">
        <v>23643</v>
      </c>
      <c r="AH435" s="1924"/>
      <c r="AI435" s="1924"/>
      <c r="AJ435" s="1924"/>
    </row>
    <row r="436" spans="4:36" ht="12.75" customHeight="1">
      <c r="D436" s="1963" t="s">
        <v>1522</v>
      </c>
      <c r="E436" s="1884"/>
      <c r="F436" s="1884"/>
      <c r="G436" s="1884"/>
      <c r="H436" s="1884"/>
      <c r="I436" s="1884"/>
      <c r="J436" s="1884"/>
      <c r="K436" s="1884"/>
      <c r="L436" s="1884"/>
      <c r="M436" s="1884"/>
      <c r="N436" s="1884"/>
      <c r="O436" s="1884"/>
      <c r="P436" s="1884"/>
      <c r="Q436" s="1884"/>
      <c r="R436" s="1884"/>
      <c r="S436" s="1884"/>
      <c r="T436" s="1884"/>
      <c r="U436" s="1884"/>
      <c r="V436" s="1884"/>
      <c r="W436" s="1884"/>
      <c r="X436" s="1884"/>
      <c r="Y436" s="1884"/>
      <c r="Z436" s="1884"/>
      <c r="AA436" s="1884"/>
      <c r="AB436" s="1884"/>
      <c r="AC436" s="1884"/>
      <c r="AD436" s="1884"/>
      <c r="AE436" s="1884"/>
      <c r="AF436" s="1885"/>
      <c r="AG436" s="1924">
        <v>23643</v>
      </c>
      <c r="AH436" s="1924"/>
      <c r="AI436" s="1924"/>
      <c r="AJ436" s="1924"/>
    </row>
    <row r="437" spans="4:36" ht="12.75" customHeight="1">
      <c r="D437" s="1963" t="s">
        <v>1529</v>
      </c>
      <c r="E437" s="1884"/>
      <c r="F437" s="1884"/>
      <c r="G437" s="1884"/>
      <c r="H437" s="1884"/>
      <c r="I437" s="1884"/>
      <c r="J437" s="1884"/>
      <c r="K437" s="1884"/>
      <c r="L437" s="1884"/>
      <c r="M437" s="1884"/>
      <c r="N437" s="1884"/>
      <c r="O437" s="1884"/>
      <c r="P437" s="1884"/>
      <c r="Q437" s="1884"/>
      <c r="R437" s="1884"/>
      <c r="S437" s="1884"/>
      <c r="T437" s="1884"/>
      <c r="U437" s="1884"/>
      <c r="V437" s="1884"/>
      <c r="W437" s="1884"/>
      <c r="X437" s="1884"/>
      <c r="Y437" s="1884"/>
      <c r="Z437" s="1884"/>
      <c r="AA437" s="1884"/>
      <c r="AB437" s="1884"/>
      <c r="AC437" s="1884"/>
      <c r="AD437" s="1884"/>
      <c r="AE437" s="1884"/>
      <c r="AF437" s="1885"/>
      <c r="AG437" s="1938">
        <f>IF(ISERROR(AG436/AG435),"",AG436/AG435)</f>
        <v>1</v>
      </c>
      <c r="AH437" s="1938"/>
      <c r="AI437" s="1938"/>
      <c r="AJ437" s="1938"/>
    </row>
    <row r="438" spans="4:36" ht="12.75" customHeight="1">
      <c r="D438" s="1963" t="s">
        <v>1527</v>
      </c>
      <c r="E438" s="1884"/>
      <c r="F438" s="1884"/>
      <c r="G438" s="1884"/>
      <c r="H438" s="1884"/>
      <c r="I438" s="1884"/>
      <c r="J438" s="1884"/>
      <c r="K438" s="1884"/>
      <c r="L438" s="1884"/>
      <c r="M438" s="1884"/>
      <c r="N438" s="1884"/>
      <c r="O438" s="1884"/>
      <c r="P438" s="1884"/>
      <c r="Q438" s="1884"/>
      <c r="R438" s="1884"/>
      <c r="S438" s="1884"/>
      <c r="T438" s="1884"/>
      <c r="U438" s="1884"/>
      <c r="V438" s="1884"/>
      <c r="W438" s="1884"/>
      <c r="X438" s="1884"/>
      <c r="Y438" s="1884"/>
      <c r="Z438" s="1884"/>
      <c r="AA438" s="1884"/>
      <c r="AB438" s="1884"/>
      <c r="AC438" s="1884"/>
      <c r="AD438" s="1884"/>
      <c r="AE438" s="1884"/>
      <c r="AF438" s="1885"/>
      <c r="AG438" s="1938">
        <f>MIN(IF(AG434&gt;AG437,AG437,AG434),1)</f>
        <v>1</v>
      </c>
      <c r="AH438" s="1938"/>
      <c r="AI438" s="1938"/>
      <c r="AJ438" s="1938"/>
    </row>
    <row r="439" spans="4:36" ht="13.2">
      <c r="D439" s="1883" t="s">
        <v>1963</v>
      </c>
      <c r="E439" s="1936"/>
      <c r="F439" s="1936"/>
      <c r="G439" s="1936"/>
      <c r="H439" s="1936"/>
      <c r="I439" s="1936"/>
      <c r="J439" s="1936"/>
      <c r="K439" s="1936"/>
      <c r="L439" s="1936"/>
      <c r="M439" s="1936"/>
      <c r="N439" s="1936"/>
      <c r="O439" s="1936"/>
      <c r="P439" s="1936"/>
      <c r="Q439" s="1936"/>
      <c r="R439" s="1936"/>
      <c r="S439" s="1936"/>
      <c r="T439" s="1936"/>
      <c r="U439" s="1936"/>
      <c r="V439" s="1936"/>
      <c r="W439" s="1936"/>
      <c r="X439" s="1936"/>
      <c r="Y439" s="1936"/>
      <c r="Z439" s="1936"/>
      <c r="AA439" s="1936"/>
      <c r="AB439" s="1936"/>
      <c r="AC439" s="1936"/>
      <c r="AD439" s="1936"/>
      <c r="AE439" s="1936"/>
      <c r="AF439" s="1937"/>
      <c r="AG439" s="1924">
        <v>4012</v>
      </c>
      <c r="AH439" s="1924"/>
      <c r="AI439" s="1924"/>
      <c r="AJ439" s="1924"/>
    </row>
    <row r="440" spans="4:36" ht="13.2">
      <c r="D440" s="1963" t="s">
        <v>231</v>
      </c>
      <c r="E440" s="1884"/>
      <c r="F440" s="1884"/>
      <c r="G440" s="1884"/>
      <c r="H440" s="1884"/>
      <c r="I440" s="1884"/>
      <c r="J440" s="1884"/>
      <c r="K440" s="1884"/>
      <c r="L440" s="1884"/>
      <c r="M440" s="1884"/>
      <c r="N440" s="1884"/>
      <c r="O440" s="1884"/>
      <c r="P440" s="1884"/>
      <c r="Q440" s="1884"/>
      <c r="R440" s="1884"/>
      <c r="S440" s="1884"/>
      <c r="T440" s="1884"/>
      <c r="U440" s="1884"/>
      <c r="V440" s="1884"/>
      <c r="W440" s="1884"/>
      <c r="X440" s="1884"/>
      <c r="Y440" s="1884"/>
      <c r="Z440" s="1884"/>
      <c r="AA440" s="1884"/>
      <c r="AB440" s="1884"/>
      <c r="AC440" s="1884"/>
      <c r="AD440" s="1884"/>
      <c r="AE440" s="1884"/>
      <c r="AF440" s="1885"/>
      <c r="AG440" s="1924">
        <v>4215</v>
      </c>
      <c r="AH440" s="1924"/>
      <c r="AI440" s="1924"/>
      <c r="AJ440" s="1924"/>
    </row>
    <row r="441" spans="4:36" ht="12.75" customHeight="1">
      <c r="D441" s="1883" t="s">
        <v>1964</v>
      </c>
      <c r="E441" s="1884"/>
      <c r="F441" s="1884"/>
      <c r="G441" s="1884"/>
      <c r="H441" s="1884"/>
      <c r="I441" s="1884"/>
      <c r="J441" s="1884"/>
      <c r="K441" s="1884"/>
      <c r="L441" s="1884"/>
      <c r="M441" s="1884"/>
      <c r="N441" s="1884"/>
      <c r="O441" s="1884"/>
      <c r="P441" s="1884"/>
      <c r="Q441" s="1884"/>
      <c r="R441" s="1884"/>
      <c r="S441" s="1884"/>
      <c r="T441" s="1884"/>
      <c r="U441" s="1884"/>
      <c r="V441" s="1884"/>
      <c r="W441" s="1884"/>
      <c r="X441" s="1884"/>
      <c r="Y441" s="1884"/>
      <c r="Z441" s="1884"/>
      <c r="AA441" s="1884"/>
      <c r="AB441" s="1884"/>
      <c r="AC441" s="1884"/>
      <c r="AD441" s="1884"/>
      <c r="AE441" s="1884"/>
      <c r="AF441" s="1885"/>
      <c r="AG441" s="1924">
        <v>6951</v>
      </c>
      <c r="AH441" s="1924"/>
      <c r="AI441" s="1924"/>
      <c r="AJ441" s="1924"/>
    </row>
    <row r="442" spans="4:36" ht="13.2">
      <c r="D442" s="1963" t="s">
        <v>1528</v>
      </c>
      <c r="E442" s="1884"/>
      <c r="F442" s="1884"/>
      <c r="G442" s="1884"/>
      <c r="H442" s="1884"/>
      <c r="I442" s="1884"/>
      <c r="J442" s="1884"/>
      <c r="K442" s="1884"/>
      <c r="L442" s="1884"/>
      <c r="M442" s="1884"/>
      <c r="N442" s="1884"/>
      <c r="O442" s="1884"/>
      <c r="P442" s="1884"/>
      <c r="Q442" s="1884"/>
      <c r="R442" s="1884"/>
      <c r="S442" s="1884"/>
      <c r="T442" s="1884"/>
      <c r="U442" s="1884"/>
      <c r="V442" s="1884"/>
      <c r="W442" s="1884"/>
      <c r="X442" s="1884"/>
      <c r="Y442" s="1884"/>
      <c r="Z442" s="1884"/>
      <c r="AA442" s="1884"/>
      <c r="AB442" s="1884"/>
      <c r="AC442" s="1884"/>
      <c r="AD442" s="1884"/>
      <c r="AE442" s="1884"/>
      <c r="AF442" s="1885"/>
      <c r="AG442" s="1924">
        <v>0</v>
      </c>
      <c r="AH442" s="1924"/>
      <c r="AI442" s="1924"/>
      <c r="AJ442" s="1924"/>
    </row>
    <row r="443" spans="4:36" ht="13.2">
      <c r="D443" s="1963" t="s">
        <v>1530</v>
      </c>
      <c r="E443" s="1884"/>
      <c r="F443" s="1884"/>
      <c r="G443" s="1884"/>
      <c r="H443" s="1884"/>
      <c r="I443" s="1884"/>
      <c r="J443" s="1884"/>
      <c r="K443" s="1884"/>
      <c r="L443" s="1884"/>
      <c r="M443" s="1884"/>
      <c r="N443" s="1884"/>
      <c r="O443" s="1884"/>
      <c r="P443" s="1884"/>
      <c r="Q443" s="1884"/>
      <c r="R443" s="1884"/>
      <c r="S443" s="1884"/>
      <c r="T443" s="1884"/>
      <c r="U443" s="1884"/>
      <c r="V443" s="1884"/>
      <c r="W443" s="1884"/>
      <c r="X443" s="1884"/>
      <c r="Y443" s="1884"/>
      <c r="Z443" s="1884"/>
      <c r="AA443" s="1884"/>
      <c r="AB443" s="1884"/>
      <c r="AC443" s="1884"/>
      <c r="AD443" s="1884"/>
      <c r="AE443" s="1884"/>
      <c r="AF443" s="1885"/>
      <c r="AG443" s="1970">
        <f>AG435+AG439+AG441+AG442</f>
        <v>34606</v>
      </c>
      <c r="AH443" s="1970"/>
      <c r="AI443" s="1970"/>
      <c r="AJ443" s="1970"/>
    </row>
    <row r="444" spans="4:36" ht="13.2">
      <c r="D444" s="2089" t="s">
        <v>1965</v>
      </c>
      <c r="E444" s="2089"/>
      <c r="F444" s="2089"/>
      <c r="G444" s="2089"/>
      <c r="H444" s="2089"/>
      <c r="I444" s="2089"/>
      <c r="J444" s="2089"/>
      <c r="K444" s="2089"/>
      <c r="L444" s="2089"/>
      <c r="M444" s="2089"/>
      <c r="N444" s="2089"/>
      <c r="O444" s="2089"/>
      <c r="P444" s="2089"/>
      <c r="Q444" s="2089"/>
      <c r="R444" s="2089"/>
      <c r="S444" s="2089"/>
      <c r="T444" s="2089"/>
      <c r="U444" s="2089"/>
      <c r="V444" s="2089"/>
      <c r="W444" s="2089"/>
      <c r="X444" s="2089"/>
      <c r="Y444" s="2089"/>
      <c r="Z444" s="2089"/>
      <c r="AA444" s="2089"/>
      <c r="AB444" s="2089"/>
      <c r="AC444" s="2089"/>
      <c r="AD444" s="2089"/>
      <c r="AE444" s="2089"/>
      <c r="AF444" s="2089"/>
      <c r="AG444" s="2089"/>
      <c r="AH444" s="2089"/>
      <c r="AI444" s="2089"/>
      <c r="AJ444" s="2089"/>
    </row>
    <row r="445" spans="4:36" ht="13.65" customHeight="1">
      <c r="D445" s="2090"/>
      <c r="E445" s="2090"/>
      <c r="F445" s="2090"/>
      <c r="G445" s="2090"/>
      <c r="H445" s="2090"/>
      <c r="I445" s="2090"/>
      <c r="J445" s="2090"/>
      <c r="K445" s="2090"/>
      <c r="L445" s="2090"/>
      <c r="M445" s="2090"/>
      <c r="N445" s="2090"/>
      <c r="O445" s="2090"/>
      <c r="P445" s="2090"/>
      <c r="Q445" s="2090"/>
      <c r="R445" s="2090"/>
      <c r="S445" s="2090"/>
      <c r="T445" s="2090"/>
      <c r="U445" s="2090"/>
      <c r="V445" s="2090"/>
      <c r="W445" s="2090"/>
      <c r="X445" s="2090"/>
      <c r="Y445" s="2090"/>
      <c r="Z445" s="2090"/>
      <c r="AA445" s="2090"/>
      <c r="AB445" s="2090"/>
      <c r="AC445" s="2090"/>
      <c r="AD445" s="2090"/>
      <c r="AE445" s="2090"/>
      <c r="AF445" s="2090"/>
      <c r="AG445" s="2090"/>
      <c r="AH445" s="2090"/>
      <c r="AI445" s="2090"/>
      <c r="AJ445" s="2090"/>
    </row>
    <row r="446" spans="4:36" ht="13.2">
      <c r="D446" s="2200"/>
      <c r="E446" s="2200"/>
      <c r="F446" s="2200"/>
      <c r="G446" s="2200"/>
      <c r="H446" s="2200"/>
      <c r="I446" s="2200"/>
      <c r="J446" s="2200"/>
      <c r="K446" s="2200"/>
      <c r="L446" s="2200"/>
      <c r="M446" s="2200"/>
      <c r="N446" s="2200"/>
      <c r="O446" s="2200"/>
      <c r="P446" s="2200"/>
      <c r="Q446" s="2200"/>
      <c r="R446" s="2200"/>
      <c r="S446" s="2200"/>
      <c r="T446" s="2200"/>
      <c r="U446" s="2200"/>
      <c r="V446" s="2200"/>
      <c r="W446" s="2200"/>
      <c r="X446" s="2200"/>
      <c r="Y446" s="2200"/>
      <c r="Z446" s="2200"/>
      <c r="AA446" s="2200"/>
      <c r="AB446" s="2200"/>
      <c r="AC446" s="2200"/>
      <c r="AD446" s="2200"/>
      <c r="AE446" s="2200"/>
      <c r="AF446" s="2200"/>
      <c r="AG446" s="2200"/>
      <c r="AH446" s="2200"/>
      <c r="AI446" s="2200"/>
      <c r="AJ446" s="2200"/>
    </row>
    <row r="447" spans="4:36" ht="13.2">
      <c r="D447" s="63" t="s">
        <v>1152</v>
      </c>
      <c r="E447" s="490"/>
      <c r="F447" s="490"/>
      <c r="G447" s="490"/>
      <c r="H447" s="490"/>
      <c r="I447" s="490"/>
      <c r="J447" s="490"/>
      <c r="K447" s="490"/>
      <c r="L447" s="490"/>
      <c r="M447" s="490"/>
      <c r="N447" s="490"/>
      <c r="O447" s="490"/>
      <c r="P447" s="490"/>
      <c r="Q447" s="490"/>
      <c r="R447" s="490"/>
      <c r="S447" s="490"/>
      <c r="T447" s="490"/>
      <c r="U447" s="490"/>
      <c r="V447" s="490"/>
      <c r="W447" s="490"/>
      <c r="X447" s="490"/>
      <c r="Y447" s="490"/>
      <c r="Z447" s="490"/>
      <c r="AA447" s="490"/>
      <c r="AB447" s="490"/>
      <c r="AC447" s="1935">
        <f>'Sources and Uses Budget'!B104/Application!AG430</f>
        <v>587989.39024390245</v>
      </c>
      <c r="AD447" s="1935"/>
      <c r="AE447" s="1935"/>
      <c r="AF447" s="1935"/>
      <c r="AG447" s="1964"/>
      <c r="AH447" s="1964"/>
      <c r="AI447" s="1964"/>
      <c r="AJ447" s="1964"/>
    </row>
    <row r="448" spans="4:36" ht="12.75" customHeight="1">
      <c r="D448" s="63" t="s">
        <v>1153</v>
      </c>
      <c r="E448" s="490"/>
      <c r="F448" s="490"/>
      <c r="G448" s="490"/>
      <c r="H448" s="490"/>
      <c r="I448" s="490"/>
      <c r="J448" s="490"/>
      <c r="K448" s="490"/>
      <c r="L448" s="490"/>
      <c r="M448" s="490"/>
      <c r="N448" s="490"/>
      <c r="O448" s="490"/>
      <c r="P448" s="490"/>
      <c r="Q448" s="490"/>
      <c r="R448" s="490"/>
      <c r="S448" s="490"/>
      <c r="T448" s="490"/>
      <c r="U448" s="490"/>
      <c r="V448" s="490"/>
      <c r="W448" s="490"/>
      <c r="X448" s="490"/>
      <c r="Y448" s="490"/>
      <c r="Z448" s="490"/>
      <c r="AA448" s="490"/>
      <c r="AB448" s="490"/>
      <c r="AC448" s="1935">
        <f>'Sources and Uses Budget'!C104/Application!AG430</f>
        <v>569450.75609756098</v>
      </c>
      <c r="AD448" s="1935"/>
      <c r="AE448" s="1935"/>
      <c r="AF448" s="1935"/>
      <c r="AG448" s="1964"/>
      <c r="AH448" s="1964"/>
      <c r="AI448" s="1964"/>
      <c r="AJ448" s="1964"/>
    </row>
    <row r="449" spans="1:38" ht="12.75" customHeight="1">
      <c r="D449" s="595" t="s">
        <v>1161</v>
      </c>
      <c r="E449" s="490"/>
      <c r="F449" s="490"/>
      <c r="G449" s="490"/>
      <c r="H449" s="490"/>
      <c r="I449" s="490"/>
      <c r="J449" s="490"/>
      <c r="K449" s="490"/>
      <c r="L449" s="490"/>
      <c r="M449" s="490"/>
      <c r="N449" s="490"/>
      <c r="O449" s="490"/>
      <c r="P449" s="490"/>
      <c r="Q449" s="490"/>
      <c r="R449" s="490"/>
      <c r="S449" s="490"/>
      <c r="T449" s="490"/>
      <c r="U449" s="490"/>
      <c r="V449" s="490"/>
      <c r="W449" s="490"/>
      <c r="X449" s="490"/>
      <c r="Y449" s="490"/>
      <c r="Z449" s="490"/>
      <c r="AA449" s="490"/>
      <c r="AB449" s="490"/>
      <c r="AC449" s="1935">
        <f>('Sources and Uses Budget'!S106+'Sources and Uses Budget'!T106)/Application!AG430</f>
        <v>523926.70731707319</v>
      </c>
      <c r="AD449" s="1935"/>
      <c r="AE449" s="1935"/>
      <c r="AF449" s="1935"/>
      <c r="AG449" s="583"/>
      <c r="AH449" s="583"/>
      <c r="AI449" s="583"/>
      <c r="AJ449" s="583"/>
    </row>
    <row r="450" spans="1:38" ht="12.75" customHeight="1">
      <c r="D450" s="490"/>
      <c r="E450" s="490"/>
      <c r="F450" s="490"/>
      <c r="G450" s="490"/>
      <c r="H450" s="490"/>
      <c r="I450" s="490"/>
      <c r="J450" s="490"/>
      <c r="K450" s="490"/>
      <c r="L450" s="490"/>
      <c r="M450" s="490"/>
      <c r="N450" s="490"/>
      <c r="O450" s="490"/>
      <c r="P450" s="490"/>
      <c r="Q450" s="490"/>
      <c r="R450" s="490"/>
      <c r="S450" s="490"/>
      <c r="T450" s="490"/>
      <c r="U450" s="490"/>
      <c r="V450" s="490"/>
      <c r="W450" s="490"/>
      <c r="X450" s="490"/>
      <c r="Y450" s="490"/>
      <c r="Z450" s="490"/>
      <c r="AA450" s="490"/>
      <c r="AB450" s="490"/>
      <c r="AC450" s="1182"/>
      <c r="AD450" s="490"/>
      <c r="AE450" s="490"/>
      <c r="AF450" s="490"/>
      <c r="AG450" s="490"/>
      <c r="AH450" s="490"/>
      <c r="AI450" s="490"/>
    </row>
    <row r="451" spans="1:38" ht="12.75" customHeight="1">
      <c r="A451" s="63" t="s">
        <v>169</v>
      </c>
      <c r="D451" s="63" t="s">
        <v>235</v>
      </c>
      <c r="E451" s="490"/>
      <c r="F451" s="490"/>
      <c r="G451" s="490"/>
      <c r="H451" s="490"/>
      <c r="I451" s="490"/>
      <c r="J451" s="490"/>
      <c r="K451" s="490"/>
      <c r="L451" s="490"/>
      <c r="M451" s="490"/>
      <c r="N451" s="490"/>
      <c r="O451" s="490"/>
      <c r="P451" s="490"/>
      <c r="Q451" s="490"/>
      <c r="R451" s="490"/>
      <c r="S451" s="490"/>
      <c r="T451" s="490"/>
      <c r="U451" s="490"/>
      <c r="V451" s="490"/>
      <c r="W451" s="490"/>
      <c r="X451" s="490"/>
      <c r="Y451" s="490"/>
      <c r="Z451" s="490"/>
      <c r="AA451" s="490"/>
      <c r="AB451" s="490"/>
      <c r="AC451" s="490"/>
      <c r="AD451" s="490"/>
      <c r="AE451" s="490"/>
      <c r="AF451" s="490"/>
      <c r="AG451" s="490"/>
      <c r="AH451" s="490"/>
      <c r="AI451" s="490"/>
    </row>
    <row r="452" spans="1:38" ht="12.75" customHeight="1">
      <c r="D452" s="495" t="s">
        <v>244</v>
      </c>
      <c r="E452" s="490"/>
      <c r="F452" s="490"/>
      <c r="G452" s="490"/>
      <c r="H452" s="490"/>
      <c r="I452" s="490"/>
      <c r="J452" s="490"/>
      <c r="K452" s="490"/>
      <c r="L452" s="490"/>
      <c r="M452" s="490"/>
      <c r="N452" s="490"/>
      <c r="O452" s="490"/>
      <c r="P452" s="490"/>
      <c r="Q452" s="490"/>
      <c r="R452" s="490"/>
      <c r="S452" s="490"/>
      <c r="T452" s="490"/>
      <c r="U452" s="490"/>
      <c r="V452" s="490"/>
      <c r="W452" s="490"/>
      <c r="X452" s="490"/>
      <c r="Y452" s="490"/>
      <c r="Z452" s="490"/>
      <c r="AA452" s="490"/>
      <c r="AB452" s="490"/>
      <c r="AC452" s="490"/>
      <c r="AD452" s="490"/>
      <c r="AE452" s="490"/>
      <c r="AF452" s="490"/>
      <c r="AG452" s="490"/>
      <c r="AH452" s="490"/>
      <c r="AI452" s="490"/>
    </row>
    <row r="453" spans="1:38" ht="12.75" customHeight="1">
      <c r="D453" s="496" t="s">
        <v>762</v>
      </c>
      <c r="E453" s="490"/>
      <c r="F453" s="490"/>
      <c r="G453" s="490"/>
      <c r="H453" s="490"/>
      <c r="I453" s="490"/>
      <c r="J453" s="490"/>
      <c r="K453" s="490"/>
      <c r="L453" s="490"/>
      <c r="M453" s="490"/>
      <c r="N453" s="490"/>
      <c r="O453" s="490"/>
      <c r="P453" s="490"/>
      <c r="Q453" s="490"/>
      <c r="R453" s="490"/>
      <c r="S453" s="490"/>
      <c r="T453" s="490"/>
      <c r="U453" s="490"/>
      <c r="V453" s="490"/>
      <c r="W453" s="490"/>
      <c r="X453" s="490"/>
      <c r="Y453" s="490"/>
      <c r="Z453" s="490"/>
      <c r="AA453" s="490"/>
      <c r="AB453" s="490"/>
      <c r="AC453" s="490"/>
      <c r="AD453" s="490"/>
      <c r="AE453" s="490"/>
      <c r="AF453" s="490"/>
      <c r="AG453" s="490"/>
      <c r="AH453" s="490"/>
      <c r="AI453" s="490"/>
    </row>
    <row r="454" spans="1:38" ht="12.75" customHeight="1">
      <c r="D454" s="495" t="s">
        <v>245</v>
      </c>
      <c r="E454" s="490"/>
      <c r="F454" s="490"/>
      <c r="G454" s="490"/>
      <c r="H454" s="490"/>
      <c r="I454" s="490"/>
      <c r="J454" s="490"/>
      <c r="K454" s="490"/>
      <c r="L454" s="490"/>
      <c r="M454" s="490"/>
      <c r="N454" s="490"/>
      <c r="O454" s="490"/>
      <c r="P454" s="490"/>
      <c r="Q454" s="490"/>
      <c r="R454" s="490"/>
      <c r="S454" s="490"/>
      <c r="T454" s="490"/>
      <c r="U454" s="490"/>
      <c r="V454" s="490"/>
      <c r="W454" s="490"/>
      <c r="X454" s="490"/>
      <c r="Y454" s="490"/>
      <c r="Z454" s="490"/>
      <c r="AA454" s="490"/>
      <c r="AB454" s="490"/>
      <c r="AC454" s="490"/>
      <c r="AD454" s="490"/>
      <c r="AE454" s="490"/>
      <c r="AF454" s="490"/>
      <c r="AG454" s="490"/>
      <c r="AH454" s="490"/>
      <c r="AI454" s="490"/>
    </row>
    <row r="455" spans="1:38" ht="12.75" customHeight="1">
      <c r="D455" s="495" t="s">
        <v>241</v>
      </c>
      <c r="E455" s="490"/>
      <c r="F455" s="490"/>
      <c r="G455" s="490"/>
      <c r="H455" s="490"/>
      <c r="I455" s="490"/>
      <c r="J455" s="490"/>
      <c r="K455" s="490"/>
      <c r="L455" s="490"/>
      <c r="M455" s="490"/>
      <c r="N455" s="490"/>
      <c r="O455" s="490"/>
      <c r="P455" s="490"/>
      <c r="Q455" s="490"/>
      <c r="R455" s="490"/>
      <c r="S455" s="490"/>
      <c r="T455" s="490"/>
      <c r="U455" s="490"/>
      <c r="V455" s="490"/>
      <c r="W455" s="490"/>
      <c r="X455" s="490"/>
      <c r="Y455" s="490"/>
      <c r="Z455" s="490"/>
      <c r="AA455" s="490"/>
      <c r="AB455" s="490"/>
      <c r="AC455" s="490"/>
      <c r="AD455" s="490"/>
      <c r="AE455" s="490"/>
      <c r="AF455" s="490"/>
      <c r="AG455" s="490"/>
      <c r="AH455" s="490"/>
      <c r="AI455" s="490"/>
    </row>
    <row r="456" spans="1:38" ht="12.75" customHeight="1">
      <c r="D456" s="490"/>
      <c r="E456" s="490"/>
      <c r="F456" s="490"/>
      <c r="G456" s="490"/>
      <c r="H456" s="490"/>
      <c r="I456" s="490"/>
      <c r="J456" s="490"/>
      <c r="K456" s="490"/>
      <c r="L456" s="490"/>
      <c r="M456" s="490"/>
      <c r="N456" s="490"/>
      <c r="O456" s="490"/>
      <c r="P456" s="490"/>
      <c r="Q456" s="490"/>
      <c r="R456" s="490"/>
      <c r="S456" s="490"/>
      <c r="T456" s="490"/>
      <c r="U456" s="490"/>
      <c r="V456" s="490"/>
      <c r="W456" s="490"/>
      <c r="X456" s="490"/>
      <c r="Y456" s="490"/>
      <c r="Z456" s="490"/>
      <c r="AA456" s="490"/>
      <c r="AB456" s="490"/>
      <c r="AC456" s="490"/>
      <c r="AD456" s="490"/>
      <c r="AE456" s="490"/>
      <c r="AF456" s="490"/>
      <c r="AG456" s="490"/>
      <c r="AH456" s="490"/>
      <c r="AI456" s="490"/>
    </row>
    <row r="457" spans="1:38" ht="12.75" customHeight="1">
      <c r="A457" s="327"/>
      <c r="B457" s="327"/>
      <c r="C457" s="327"/>
      <c r="D457" s="498" t="s">
        <v>243</v>
      </c>
      <c r="E457" s="495"/>
      <c r="F457" s="495"/>
      <c r="G457" s="495"/>
      <c r="H457" s="495"/>
      <c r="I457" s="495"/>
      <c r="J457" s="495"/>
      <c r="K457" s="495"/>
      <c r="L457" s="495"/>
      <c r="M457" s="495"/>
      <c r="N457" s="495"/>
      <c r="O457" s="495"/>
      <c r="P457" s="495"/>
      <c r="Q457" s="495"/>
      <c r="R457" s="495"/>
      <c r="S457" s="495"/>
      <c r="T457" s="495"/>
      <c r="U457" s="495"/>
      <c r="V457" s="495"/>
      <c r="W457" s="495"/>
      <c r="X457" s="495"/>
      <c r="Y457" s="495"/>
      <c r="Z457" s="495"/>
      <c r="AA457" s="495"/>
      <c r="AB457" s="495"/>
      <c r="AC457" s="495"/>
      <c r="AD457" s="495"/>
      <c r="AE457" s="495"/>
      <c r="AF457" s="495"/>
      <c r="AG457" s="495"/>
      <c r="AH457" s="495"/>
      <c r="AI457" s="495"/>
      <c r="AJ457" s="327"/>
      <c r="AK457" s="327"/>
      <c r="AL457" s="327"/>
    </row>
    <row r="458" spans="1:38" ht="12.75" customHeight="1">
      <c r="A458" s="327"/>
      <c r="B458" s="327"/>
      <c r="C458" s="327"/>
      <c r="D458" s="1926" t="s">
        <v>236</v>
      </c>
      <c r="E458" s="1927"/>
      <c r="F458" s="1927"/>
      <c r="G458" s="1927"/>
      <c r="H458" s="1927"/>
      <c r="I458" s="1927"/>
      <c r="J458" s="1927"/>
      <c r="K458" s="1927"/>
      <c r="L458" s="1927"/>
      <c r="M458" s="1927"/>
      <c r="N458" s="1927"/>
      <c r="O458" s="1927"/>
      <c r="P458" s="1927"/>
      <c r="Q458" s="1927"/>
      <c r="R458" s="1927"/>
      <c r="S458" s="1927"/>
      <c r="T458" s="1927"/>
      <c r="U458" s="1927"/>
      <c r="V458" s="1928"/>
      <c r="W458" s="1886" t="s">
        <v>136</v>
      </c>
      <c r="X458" s="1887"/>
      <c r="Y458" s="1888"/>
      <c r="Z458" s="495"/>
      <c r="AA458" s="495"/>
      <c r="AB458" s="495"/>
      <c r="AC458" s="495"/>
      <c r="AD458" s="495"/>
      <c r="AE458" s="495"/>
      <c r="AF458" s="495"/>
      <c r="AG458" s="495"/>
      <c r="AH458" s="495"/>
      <c r="AI458" s="495"/>
      <c r="AJ458" s="327"/>
      <c r="AK458" s="327"/>
      <c r="AL458" s="327"/>
    </row>
    <row r="459" spans="1:38" ht="12.75" customHeight="1">
      <c r="A459" s="327"/>
      <c r="B459" s="327"/>
      <c r="C459" s="327"/>
      <c r="D459" s="1926" t="s">
        <v>237</v>
      </c>
      <c r="E459" s="1927"/>
      <c r="F459" s="1927"/>
      <c r="G459" s="1927"/>
      <c r="H459" s="1927"/>
      <c r="I459" s="1927"/>
      <c r="J459" s="1927"/>
      <c r="K459" s="1927"/>
      <c r="L459" s="1927"/>
      <c r="M459" s="1927"/>
      <c r="N459" s="1927"/>
      <c r="O459" s="1927"/>
      <c r="P459" s="1927"/>
      <c r="Q459" s="1927"/>
      <c r="R459" s="1927"/>
      <c r="S459" s="1927"/>
      <c r="T459" s="1927"/>
      <c r="U459" s="1927"/>
      <c r="V459" s="1928"/>
      <c r="W459" s="1886" t="s">
        <v>136</v>
      </c>
      <c r="X459" s="1887"/>
      <c r="Y459" s="1888"/>
      <c r="Z459" s="495"/>
      <c r="AA459" s="495"/>
      <c r="AB459" s="495"/>
      <c r="AC459" s="495"/>
      <c r="AD459" s="495"/>
      <c r="AE459" s="495"/>
      <c r="AF459" s="495"/>
      <c r="AG459" s="495"/>
      <c r="AH459" s="495"/>
      <c r="AI459" s="495"/>
      <c r="AJ459" s="327"/>
      <c r="AK459" s="327"/>
      <c r="AL459" s="327"/>
    </row>
    <row r="460" spans="1:38" ht="12.75" customHeight="1">
      <c r="A460" s="327"/>
      <c r="B460" s="327"/>
      <c r="C460" s="327"/>
      <c r="D460" s="1926" t="s">
        <v>238</v>
      </c>
      <c r="E460" s="1927"/>
      <c r="F460" s="1927"/>
      <c r="G460" s="1927"/>
      <c r="H460" s="1927"/>
      <c r="I460" s="1927"/>
      <c r="J460" s="1927"/>
      <c r="K460" s="1927"/>
      <c r="L460" s="1927"/>
      <c r="M460" s="1927"/>
      <c r="N460" s="1927"/>
      <c r="O460" s="1927"/>
      <c r="P460" s="1927"/>
      <c r="Q460" s="1927"/>
      <c r="R460" s="1927"/>
      <c r="S460" s="1927"/>
      <c r="T460" s="1927"/>
      <c r="U460" s="1927"/>
      <c r="V460" s="1928"/>
      <c r="W460" s="1886" t="s">
        <v>136</v>
      </c>
      <c r="X460" s="1887"/>
      <c r="Y460" s="1888"/>
      <c r="Z460" s="495"/>
      <c r="AA460" s="495"/>
      <c r="AB460" s="495"/>
      <c r="AC460" s="495"/>
      <c r="AD460" s="495"/>
      <c r="AE460" s="495"/>
      <c r="AF460" s="495"/>
      <c r="AG460" s="495"/>
      <c r="AH460" s="495"/>
      <c r="AI460" s="495"/>
      <c r="AJ460" s="327"/>
      <c r="AK460" s="327"/>
      <c r="AL460" s="327"/>
    </row>
    <row r="461" spans="1:38" ht="12.75" customHeight="1">
      <c r="A461" s="327"/>
      <c r="B461" s="327"/>
      <c r="C461" s="327"/>
      <c r="D461" s="1926" t="s">
        <v>242</v>
      </c>
      <c r="E461" s="1927"/>
      <c r="F461" s="1927"/>
      <c r="G461" s="1927"/>
      <c r="H461" s="1927"/>
      <c r="I461" s="1927"/>
      <c r="J461" s="1927"/>
      <c r="K461" s="1927"/>
      <c r="L461" s="1927"/>
      <c r="M461" s="1927"/>
      <c r="N461" s="1927"/>
      <c r="O461" s="1927"/>
      <c r="P461" s="1927"/>
      <c r="Q461" s="1927"/>
      <c r="R461" s="1927"/>
      <c r="S461" s="1927"/>
      <c r="T461" s="1927"/>
      <c r="U461" s="1927"/>
      <c r="V461" s="1928"/>
      <c r="W461" s="1886" t="s">
        <v>136</v>
      </c>
      <c r="X461" s="1887"/>
      <c r="Y461" s="1888"/>
      <c r="Z461" s="495"/>
      <c r="AA461" s="495"/>
      <c r="AB461" s="495"/>
      <c r="AC461" s="495"/>
      <c r="AD461" s="495"/>
      <c r="AE461" s="495"/>
      <c r="AF461" s="495"/>
      <c r="AG461" s="495"/>
      <c r="AH461" s="495"/>
      <c r="AI461" s="495"/>
      <c r="AJ461" s="327"/>
      <c r="AK461" s="327"/>
      <c r="AL461" s="327"/>
    </row>
    <row r="462" spans="1:38" ht="12.75" customHeight="1">
      <c r="A462" s="327"/>
      <c r="B462" s="327"/>
      <c r="C462" s="327"/>
      <c r="D462" s="1939" t="s">
        <v>1228</v>
      </c>
      <c r="E462" s="1927"/>
      <c r="F462" s="1927"/>
      <c r="G462" s="1927"/>
      <c r="H462" s="1927"/>
      <c r="I462" s="1927"/>
      <c r="J462" s="1927"/>
      <c r="K462" s="1927"/>
      <c r="L462" s="1927"/>
      <c r="M462" s="1927"/>
      <c r="N462" s="1927"/>
      <c r="O462" s="1927"/>
      <c r="P462" s="1927"/>
      <c r="Q462" s="1927"/>
      <c r="R462" s="1927"/>
      <c r="S462" s="1927"/>
      <c r="T462" s="1927"/>
      <c r="U462" s="1927"/>
      <c r="V462" s="1928"/>
      <c r="W462" s="1886">
        <v>20</v>
      </c>
      <c r="X462" s="1887"/>
      <c r="Y462" s="1888"/>
      <c r="Z462" s="495"/>
      <c r="AA462" s="495"/>
      <c r="AB462" s="495"/>
      <c r="AC462" s="495"/>
      <c r="AD462" s="495"/>
      <c r="AE462" s="495"/>
      <c r="AF462" s="495"/>
      <c r="AG462" s="495"/>
      <c r="AH462" s="495"/>
      <c r="AI462" s="495"/>
      <c r="AJ462" s="327"/>
      <c r="AK462" s="327"/>
      <c r="AL462" s="327"/>
    </row>
    <row r="463" spans="1:38" ht="12.75" customHeight="1">
      <c r="A463" s="327"/>
      <c r="B463" s="327"/>
      <c r="C463" s="327"/>
      <c r="D463" s="1926" t="s">
        <v>246</v>
      </c>
      <c r="E463" s="1927"/>
      <c r="F463" s="1927"/>
      <c r="G463" s="1927"/>
      <c r="H463" s="1927"/>
      <c r="I463" s="1927"/>
      <c r="J463" s="1927"/>
      <c r="K463" s="1927"/>
      <c r="L463" s="1927"/>
      <c r="M463" s="1927"/>
      <c r="N463" s="1927"/>
      <c r="O463" s="1927"/>
      <c r="P463" s="1927"/>
      <c r="Q463" s="1927"/>
      <c r="R463" s="1927"/>
      <c r="S463" s="1927"/>
      <c r="T463" s="1927"/>
      <c r="U463" s="1927"/>
      <c r="V463" s="1928"/>
      <c r="W463" s="1886" t="s">
        <v>136</v>
      </c>
      <c r="X463" s="1887"/>
      <c r="Y463" s="1888"/>
      <c r="Z463" s="495"/>
      <c r="AA463" s="495"/>
      <c r="AB463" s="495"/>
      <c r="AC463" s="495"/>
      <c r="AD463" s="495"/>
      <c r="AE463" s="495"/>
      <c r="AF463" s="495"/>
      <c r="AG463" s="495"/>
      <c r="AH463" s="495"/>
      <c r="AI463" s="495"/>
      <c r="AJ463" s="327"/>
      <c r="AK463" s="327"/>
      <c r="AL463" s="327"/>
    </row>
    <row r="464" spans="1:38" ht="12.75" customHeight="1">
      <c r="A464" s="887"/>
      <c r="B464" s="887"/>
      <c r="C464" s="887"/>
      <c r="D464" s="1939" t="s">
        <v>1448</v>
      </c>
      <c r="E464" s="1940"/>
      <c r="F464" s="1940"/>
      <c r="G464" s="1940"/>
      <c r="H464" s="1940"/>
      <c r="I464" s="1940"/>
      <c r="J464" s="1940"/>
      <c r="K464" s="1940"/>
      <c r="L464" s="1940"/>
      <c r="M464" s="1940"/>
      <c r="N464" s="1940"/>
      <c r="O464" s="1940"/>
      <c r="P464" s="1940"/>
      <c r="Q464" s="1940"/>
      <c r="R464" s="1940"/>
      <c r="S464" s="1940"/>
      <c r="T464" s="1940"/>
      <c r="U464" s="1940"/>
      <c r="V464" s="1941"/>
      <c r="W464" s="1975" t="s">
        <v>136</v>
      </c>
      <c r="X464" s="1976"/>
      <c r="Y464" s="1977"/>
      <c r="Z464" s="888"/>
      <c r="AA464" s="888"/>
      <c r="AB464" s="888"/>
      <c r="AC464" s="888"/>
      <c r="AD464" s="889"/>
      <c r="AE464" s="889"/>
      <c r="AF464" s="889"/>
      <c r="AG464" s="889"/>
      <c r="AH464" s="889"/>
      <c r="AI464" s="889"/>
      <c r="AJ464" s="583"/>
    </row>
    <row r="465" spans="1:97" ht="12.75" customHeight="1">
      <c r="A465" s="327"/>
      <c r="B465" s="327"/>
      <c r="C465" s="327"/>
      <c r="D465" s="656" t="s">
        <v>311</v>
      </c>
      <c r="E465" s="657"/>
      <c r="F465" s="658"/>
      <c r="G465" s="1929"/>
      <c r="H465" s="1930"/>
      <c r="I465" s="1930"/>
      <c r="J465" s="1930"/>
      <c r="K465" s="1930"/>
      <c r="L465" s="1930"/>
      <c r="M465" s="1930"/>
      <c r="N465" s="1930"/>
      <c r="O465" s="1930"/>
      <c r="P465" s="1930"/>
      <c r="Q465" s="1930"/>
      <c r="R465" s="1930"/>
      <c r="S465" s="1930"/>
      <c r="T465" s="1930"/>
      <c r="U465" s="1930"/>
      <c r="V465" s="1931"/>
      <c r="W465" s="1886" t="s">
        <v>136</v>
      </c>
      <c r="X465" s="1887"/>
      <c r="Y465" s="1888"/>
      <c r="Z465" s="495"/>
      <c r="AA465" s="495"/>
      <c r="AB465" s="495"/>
      <c r="AC465" s="495"/>
      <c r="AD465" s="495"/>
      <c r="AE465" s="495"/>
      <c r="AF465" s="495"/>
      <c r="AG465" s="495"/>
      <c r="AH465" s="495"/>
      <c r="AI465" s="495"/>
      <c r="AJ465" s="327"/>
      <c r="AK465" s="327"/>
      <c r="AL465" s="327"/>
      <c r="AM465" s="890"/>
      <c r="AN465" s="890"/>
      <c r="AO465" s="890"/>
      <c r="AP465" s="890"/>
      <c r="AQ465" s="890"/>
      <c r="AR465" s="890"/>
      <c r="AS465" s="890"/>
      <c r="AT465" s="890"/>
      <c r="AU465" s="890"/>
      <c r="AV465" s="890"/>
      <c r="AW465" s="890"/>
      <c r="AX465" s="890"/>
      <c r="AY465" s="890"/>
      <c r="AZ465" s="890"/>
      <c r="BA465" s="890"/>
      <c r="BB465" s="890"/>
      <c r="BC465" s="890"/>
      <c r="BD465" s="890"/>
      <c r="BE465" s="890"/>
      <c r="BF465" s="890"/>
      <c r="BG465" s="890"/>
      <c r="BH465" s="890"/>
      <c r="BI465" s="890"/>
      <c r="BJ465" s="890"/>
      <c r="BK465" s="890"/>
      <c r="BL465" s="890"/>
      <c r="BM465" s="890"/>
      <c r="BN465" s="890"/>
      <c r="BO465" s="890"/>
      <c r="BP465" s="890"/>
      <c r="BQ465" s="890"/>
      <c r="BR465" s="890"/>
      <c r="BS465" s="890"/>
      <c r="BT465" s="890"/>
      <c r="BU465" s="890"/>
      <c r="BV465" s="890"/>
      <c r="BW465" s="890"/>
      <c r="BX465" s="890"/>
      <c r="BY465" s="890"/>
      <c r="BZ465" s="890"/>
      <c r="CA465" s="890"/>
      <c r="CB465" s="890"/>
      <c r="CC465" s="890"/>
      <c r="CD465" s="890"/>
      <c r="CE465" s="890"/>
      <c r="CF465" s="890"/>
      <c r="CG465" s="890"/>
      <c r="CH465" s="890"/>
      <c r="CI465" s="890"/>
      <c r="CJ465" s="890"/>
      <c r="CK465" s="890"/>
      <c r="CL465" s="890"/>
      <c r="CM465" s="890"/>
      <c r="CN465" s="890"/>
      <c r="CO465" s="890"/>
      <c r="CP465" s="890"/>
      <c r="CQ465" s="890"/>
      <c r="CR465" s="890"/>
      <c r="CS465" s="890"/>
    </row>
    <row r="466" spans="1:97" ht="12.75" customHeight="1">
      <c r="A466" s="327"/>
      <c r="B466" s="327"/>
      <c r="C466" s="327"/>
      <c r="D466" s="687" t="s">
        <v>1449</v>
      </c>
      <c r="E466" s="659"/>
      <c r="F466" s="659"/>
      <c r="G466" s="498"/>
      <c r="H466" s="498"/>
      <c r="I466" s="498"/>
      <c r="J466" s="498"/>
      <c r="K466" s="498"/>
      <c r="L466" s="498"/>
      <c r="M466" s="498"/>
      <c r="N466" s="498"/>
      <c r="O466" s="498"/>
      <c r="P466" s="498"/>
      <c r="Q466" s="498"/>
      <c r="R466" s="498"/>
      <c r="S466" s="498"/>
      <c r="T466" s="498"/>
      <c r="U466" s="498"/>
      <c r="V466" s="498"/>
      <c r="W466" s="649"/>
      <c r="X466" s="649"/>
      <c r="Y466" s="650"/>
      <c r="Z466" s="495"/>
      <c r="AA466" s="495"/>
      <c r="AB466" s="495"/>
      <c r="AC466" s="495"/>
      <c r="AD466" s="495"/>
      <c r="AE466" s="495"/>
      <c r="AF466" s="495"/>
      <c r="AG466" s="495"/>
      <c r="AH466" s="495"/>
      <c r="AI466" s="495"/>
      <c r="AJ466" s="327"/>
      <c r="AK466" s="327"/>
      <c r="AL466" s="327"/>
    </row>
    <row r="467" spans="1:97" ht="12.75" customHeight="1">
      <c r="A467" s="327"/>
      <c r="B467" s="327"/>
      <c r="C467" s="327"/>
      <c r="D467" s="660"/>
      <c r="E467" s="661"/>
      <c r="F467" s="661"/>
      <c r="G467" s="661"/>
      <c r="H467" s="661"/>
      <c r="I467" s="661"/>
      <c r="J467" s="661"/>
      <c r="K467" s="661"/>
      <c r="L467" s="661"/>
      <c r="M467" s="661"/>
      <c r="N467" s="661"/>
      <c r="O467" s="661"/>
      <c r="P467" s="661"/>
      <c r="Q467" s="661"/>
      <c r="R467" s="661"/>
      <c r="S467" s="661"/>
      <c r="T467" s="661"/>
      <c r="U467" s="661"/>
      <c r="V467" s="661"/>
      <c r="W467" s="662"/>
      <c r="X467" s="662"/>
      <c r="Y467" s="663"/>
      <c r="Z467" s="495"/>
      <c r="AA467" s="495"/>
      <c r="AB467" s="495"/>
      <c r="AC467" s="495"/>
      <c r="AD467" s="495"/>
      <c r="AE467" s="495"/>
      <c r="AF467" s="495"/>
      <c r="AG467" s="495"/>
      <c r="AH467" s="495"/>
      <c r="AI467" s="495"/>
      <c r="AJ467" s="327"/>
      <c r="AK467" s="327"/>
      <c r="AL467" s="327"/>
    </row>
    <row r="468" spans="1:97" ht="12.75" customHeight="1">
      <c r="A468" s="327"/>
      <c r="B468" s="327"/>
      <c r="C468" s="327"/>
      <c r="D468" s="660"/>
      <c r="E468" s="661"/>
      <c r="F468" s="661"/>
      <c r="G468" s="661"/>
      <c r="H468" s="661"/>
      <c r="I468" s="661"/>
      <c r="J468" s="661"/>
      <c r="K468" s="661"/>
      <c r="L468" s="661"/>
      <c r="M468" s="661"/>
      <c r="N468" s="661"/>
      <c r="O468" s="661"/>
      <c r="P468" s="661"/>
      <c r="Q468" s="661"/>
      <c r="R468" s="661"/>
      <c r="S468" s="661"/>
      <c r="T468" s="661"/>
      <c r="U468" s="661"/>
      <c r="V468" s="661"/>
      <c r="W468" s="662"/>
      <c r="X468" s="662"/>
      <c r="Y468" s="663"/>
      <c r="Z468" s="495"/>
      <c r="AA468" s="495"/>
      <c r="AB468" s="495"/>
      <c r="AC468" s="495"/>
      <c r="AD468" s="495"/>
      <c r="AE468" s="495"/>
      <c r="AF468" s="495"/>
      <c r="AG468" s="495"/>
      <c r="AH468" s="495"/>
      <c r="AI468" s="495"/>
      <c r="AJ468" s="327"/>
      <c r="AK468" s="327"/>
      <c r="AL468" s="327"/>
      <c r="AM468" s="75"/>
      <c r="AN468" s="75"/>
      <c r="AO468" s="75"/>
      <c r="AP468" s="75"/>
      <c r="AQ468" s="75"/>
      <c r="AR468" s="75"/>
      <c r="AS468" s="75"/>
      <c r="AT468" s="75"/>
      <c r="AU468" s="75"/>
      <c r="AV468" s="75"/>
      <c r="AW468" s="75"/>
      <c r="AX468" s="75"/>
      <c r="AY468" s="75"/>
      <c r="AZ468" s="75"/>
      <c r="BA468" s="75"/>
      <c r="BB468" s="75"/>
      <c r="BC468" s="75"/>
      <c r="BD468" s="75"/>
      <c r="BE468" s="75"/>
      <c r="BF468" s="75"/>
      <c r="BG468" s="75"/>
      <c r="BH468" s="75"/>
      <c r="BI468" s="75"/>
      <c r="BJ468" s="75"/>
      <c r="BK468" s="75"/>
      <c r="BL468" s="75"/>
      <c r="BM468" s="75"/>
      <c r="BN468" s="75"/>
      <c r="BO468" s="75"/>
      <c r="BP468" s="75"/>
      <c r="BQ468" s="75"/>
      <c r="BR468" s="75"/>
      <c r="BS468" s="75"/>
      <c r="BT468" s="75"/>
      <c r="BU468" s="75"/>
      <c r="BV468" s="75"/>
      <c r="BW468" s="75"/>
      <c r="BX468" s="75"/>
      <c r="BY468" s="75"/>
      <c r="BZ468" s="75"/>
      <c r="CA468" s="75"/>
      <c r="CB468" s="75"/>
      <c r="CC468" s="75"/>
      <c r="CD468" s="75"/>
      <c r="CE468" s="75"/>
      <c r="CF468" s="75"/>
      <c r="CG468" s="75"/>
      <c r="CH468" s="75"/>
      <c r="CI468" s="75"/>
      <c r="CJ468" s="75"/>
      <c r="CK468" s="75"/>
      <c r="CL468" s="75"/>
      <c r="CM468" s="75"/>
      <c r="CN468" s="75"/>
      <c r="CO468" s="75"/>
      <c r="CP468" s="75"/>
      <c r="CQ468" s="75"/>
      <c r="CR468" s="75"/>
      <c r="CS468" s="75"/>
    </row>
    <row r="469" spans="1:97" ht="14.1" customHeight="1">
      <c r="A469" s="327"/>
      <c r="B469" s="327"/>
      <c r="C469" s="327"/>
      <c r="D469" s="2087" t="s">
        <v>239</v>
      </c>
      <c r="E469" s="2088"/>
      <c r="F469" s="2088"/>
      <c r="G469" s="2088"/>
      <c r="H469" s="2088"/>
      <c r="I469" s="2088"/>
      <c r="J469" s="2088"/>
      <c r="K469" s="2088"/>
      <c r="L469" s="2088"/>
      <c r="M469" s="2088"/>
      <c r="N469" s="2088"/>
      <c r="O469" s="2088"/>
      <c r="P469" s="2088"/>
      <c r="Q469" s="2088"/>
      <c r="R469" s="2088"/>
      <c r="S469" s="2088"/>
      <c r="T469" s="2088"/>
      <c r="U469" s="2088"/>
      <c r="V469" s="2088"/>
      <c r="W469" s="1968"/>
      <c r="X469" s="1968"/>
      <c r="Y469" s="1969"/>
      <c r="Z469" s="495"/>
      <c r="AA469" s="495"/>
      <c r="AB469" s="495"/>
      <c r="AC469" s="495"/>
      <c r="AD469" s="495"/>
      <c r="AE469" s="495"/>
      <c r="AF469" s="495"/>
      <c r="AG469" s="495"/>
      <c r="AH469" s="495"/>
      <c r="AI469" s="495"/>
      <c r="AJ469" s="327"/>
      <c r="AK469" s="327"/>
      <c r="AL469" s="327"/>
      <c r="AM469" s="72"/>
      <c r="AN469" s="72"/>
      <c r="AO469" s="72"/>
      <c r="AP469" s="72"/>
      <c r="AQ469" s="72"/>
      <c r="AR469" s="72"/>
      <c r="AS469" s="72"/>
      <c r="AT469" s="72"/>
      <c r="AU469" s="72"/>
      <c r="AV469" s="72"/>
      <c r="AW469" s="72"/>
      <c r="AX469" s="72"/>
      <c r="AY469" s="72"/>
      <c r="AZ469" s="72"/>
      <c r="BA469" s="72"/>
      <c r="BB469" s="72"/>
      <c r="BC469" s="72"/>
      <c r="BD469" s="72"/>
      <c r="BE469" s="72"/>
      <c r="BF469" s="72"/>
      <c r="BG469" s="72"/>
      <c r="BH469" s="72"/>
      <c r="BI469" s="72"/>
      <c r="BJ469" s="72"/>
      <c r="BK469" s="72"/>
      <c r="BL469" s="72"/>
      <c r="BM469" s="72"/>
      <c r="BN469" s="72"/>
      <c r="BO469" s="72"/>
      <c r="BP469" s="72"/>
      <c r="BQ469" s="72"/>
      <c r="BR469" s="72"/>
      <c r="BS469" s="72"/>
      <c r="BT469" s="72"/>
      <c r="BU469" s="72"/>
      <c r="BV469" s="72"/>
      <c r="BW469" s="72"/>
      <c r="BX469" s="72"/>
      <c r="BY469" s="72"/>
      <c r="BZ469" s="72"/>
      <c r="CA469" s="72"/>
      <c r="CB469" s="72"/>
      <c r="CC469" s="72"/>
      <c r="CD469" s="72"/>
      <c r="CE469" s="72"/>
      <c r="CF469" s="72"/>
      <c r="CG469" s="72"/>
      <c r="CH469" s="72"/>
      <c r="CI469" s="72"/>
      <c r="CJ469" s="72"/>
      <c r="CK469" s="72"/>
      <c r="CL469" s="72"/>
      <c r="CM469" s="72"/>
      <c r="CN469" s="72"/>
      <c r="CO469" s="72"/>
      <c r="CP469" s="72"/>
      <c r="CQ469" s="72"/>
      <c r="CR469" s="72"/>
      <c r="CS469" s="72"/>
    </row>
    <row r="470" spans="1:97" ht="13.2">
      <c r="A470" s="327"/>
      <c r="B470" s="327"/>
      <c r="C470" s="327"/>
      <c r="D470" s="1926" t="s">
        <v>240</v>
      </c>
      <c r="E470" s="1927"/>
      <c r="F470" s="1927"/>
      <c r="G470" s="1927"/>
      <c r="H470" s="1927"/>
      <c r="I470" s="1927"/>
      <c r="J470" s="1927"/>
      <c r="K470" s="1927"/>
      <c r="L470" s="1927"/>
      <c r="M470" s="1927"/>
      <c r="N470" s="1927"/>
      <c r="O470" s="1927"/>
      <c r="P470" s="1927"/>
      <c r="Q470" s="1927"/>
      <c r="R470" s="1927"/>
      <c r="S470" s="1927"/>
      <c r="T470" s="1927"/>
      <c r="U470" s="1927"/>
      <c r="V470" s="1928"/>
      <c r="W470" s="1886" t="s">
        <v>136</v>
      </c>
      <c r="X470" s="1887"/>
      <c r="Y470" s="1888"/>
      <c r="Z470" s="495"/>
      <c r="AA470" s="495"/>
      <c r="AB470" s="495"/>
      <c r="AC470" s="495"/>
      <c r="AD470" s="495"/>
      <c r="AE470" s="495"/>
      <c r="AF470" s="495"/>
      <c r="AG470" s="495"/>
      <c r="AH470" s="495"/>
      <c r="AI470" s="495"/>
      <c r="AJ470" s="327"/>
      <c r="AK470" s="327"/>
      <c r="AL470" s="327"/>
      <c r="AM470" s="72"/>
      <c r="AN470" s="72"/>
      <c r="AO470" s="72"/>
      <c r="AP470" s="72"/>
      <c r="AQ470" s="72"/>
      <c r="AR470" s="72"/>
      <c r="AS470" s="72"/>
      <c r="AT470" s="72"/>
      <c r="AU470" s="72"/>
      <c r="AV470" s="72"/>
      <c r="AW470" s="72"/>
      <c r="AX470" s="72"/>
      <c r="AY470" s="72"/>
      <c r="AZ470" s="72"/>
      <c r="BA470" s="72"/>
      <c r="BB470" s="72"/>
      <c r="BC470" s="72"/>
      <c r="BD470" s="72"/>
      <c r="BE470" s="72"/>
      <c r="BF470" s="72"/>
      <c r="BG470" s="72"/>
      <c r="BH470" s="72"/>
      <c r="BI470" s="72"/>
      <c r="BJ470" s="72"/>
      <c r="BK470" s="72"/>
      <c r="BL470" s="72"/>
      <c r="BM470" s="72"/>
      <c r="BN470" s="72"/>
      <c r="BO470" s="72"/>
      <c r="BP470" s="72"/>
      <c r="BQ470" s="72"/>
      <c r="BR470" s="72"/>
      <c r="BS470" s="72"/>
      <c r="BT470" s="72"/>
      <c r="BU470" s="72"/>
      <c r="BV470" s="72"/>
      <c r="BW470" s="72"/>
      <c r="BX470" s="72"/>
      <c r="BY470" s="72"/>
      <c r="BZ470" s="72"/>
      <c r="CA470" s="72"/>
      <c r="CB470" s="72"/>
      <c r="CC470" s="72"/>
      <c r="CD470" s="72"/>
      <c r="CE470" s="72"/>
      <c r="CF470" s="72"/>
      <c r="CG470" s="72"/>
      <c r="CH470" s="72"/>
      <c r="CI470" s="72"/>
      <c r="CJ470" s="72"/>
      <c r="CK470" s="72"/>
      <c r="CL470" s="72"/>
      <c r="CM470" s="72"/>
      <c r="CN470" s="72"/>
      <c r="CO470" s="72"/>
      <c r="CP470" s="72"/>
      <c r="CQ470" s="72"/>
      <c r="CR470" s="72"/>
      <c r="CS470" s="72"/>
    </row>
    <row r="471" spans="1:97" ht="13.2">
      <c r="A471" s="327"/>
      <c r="B471" s="327"/>
      <c r="C471" s="327"/>
      <c r="D471" s="495"/>
      <c r="E471" s="495"/>
      <c r="F471" s="495"/>
      <c r="G471" s="495"/>
      <c r="H471" s="495"/>
      <c r="I471" s="495"/>
      <c r="J471" s="495"/>
      <c r="K471" s="495"/>
      <c r="L471" s="495"/>
      <c r="M471" s="495"/>
      <c r="N471" s="495"/>
      <c r="O471" s="495"/>
      <c r="P471" s="495"/>
      <c r="Q471" s="495"/>
      <c r="R471" s="495"/>
      <c r="S471" s="495"/>
      <c r="T471" s="495"/>
      <c r="U471" s="495"/>
      <c r="V471" s="495"/>
      <c r="W471" s="495"/>
      <c r="X471" s="495"/>
      <c r="Y471" s="495"/>
      <c r="Z471" s="495"/>
      <c r="AA471" s="495"/>
      <c r="AB471" s="495"/>
      <c r="AC471" s="495"/>
      <c r="AD471" s="495"/>
      <c r="AE471" s="495"/>
      <c r="AF471" s="495"/>
      <c r="AG471" s="495"/>
      <c r="AH471" s="495"/>
      <c r="AI471" s="495"/>
      <c r="AJ471" s="327"/>
      <c r="AK471" s="327"/>
      <c r="AL471" s="327"/>
      <c r="AM471" s="72"/>
      <c r="AN471" s="72"/>
      <c r="AO471" s="72"/>
      <c r="AP471" s="72"/>
      <c r="AQ471" s="72"/>
      <c r="AR471" s="72"/>
      <c r="AS471" s="72"/>
      <c r="AT471" s="72"/>
      <c r="AU471" s="72"/>
      <c r="AV471" s="72"/>
      <c r="AW471" s="72"/>
      <c r="AX471" s="72"/>
      <c r="AY471" s="72"/>
      <c r="AZ471" s="72"/>
      <c r="BA471" s="72"/>
      <c r="BB471" s="72"/>
      <c r="BC471" s="72"/>
      <c r="BD471" s="72"/>
      <c r="BE471" s="72"/>
      <c r="BF471" s="72"/>
      <c r="BG471" s="72"/>
      <c r="BH471" s="72"/>
      <c r="BI471" s="72"/>
      <c r="BJ471" s="72"/>
      <c r="BK471" s="72"/>
      <c r="BL471" s="72"/>
      <c r="BM471" s="72"/>
      <c r="BN471" s="72"/>
      <c r="BO471" s="72"/>
      <c r="BP471" s="72"/>
      <c r="BQ471" s="72"/>
      <c r="BR471" s="72"/>
      <c r="BS471" s="72"/>
      <c r="BT471" s="72"/>
      <c r="BU471" s="72"/>
      <c r="BV471" s="72"/>
      <c r="BW471" s="72"/>
      <c r="BX471" s="72"/>
      <c r="BY471" s="72"/>
      <c r="BZ471" s="72"/>
      <c r="CA471" s="72"/>
      <c r="CB471" s="72"/>
      <c r="CC471" s="72"/>
      <c r="CD471" s="72"/>
      <c r="CE471" s="72"/>
      <c r="CF471" s="72"/>
      <c r="CG471" s="72"/>
      <c r="CH471" s="72"/>
      <c r="CI471" s="72"/>
      <c r="CJ471" s="72"/>
      <c r="CK471" s="72"/>
      <c r="CL471" s="72"/>
      <c r="CM471" s="72"/>
      <c r="CN471" s="72"/>
      <c r="CO471" s="72"/>
      <c r="CP471" s="72"/>
      <c r="CQ471" s="72"/>
      <c r="CR471" s="72"/>
      <c r="CS471" s="72"/>
    </row>
    <row r="472" spans="1:97" ht="13.2">
      <c r="A472" s="327"/>
      <c r="B472" s="327"/>
      <c r="C472" s="327"/>
      <c r="D472" s="497"/>
      <c r="E472" s="497"/>
      <c r="F472" s="497"/>
      <c r="G472" s="497"/>
      <c r="H472" s="497"/>
      <c r="I472" s="497"/>
      <c r="J472" s="497"/>
      <c r="K472" s="497"/>
      <c r="L472" s="497"/>
      <c r="M472" s="497"/>
      <c r="N472" s="497"/>
      <c r="O472" s="497"/>
      <c r="P472" s="497"/>
      <c r="Q472" s="497"/>
      <c r="R472" s="497"/>
      <c r="S472" s="497"/>
      <c r="T472" s="497"/>
      <c r="U472" s="497"/>
      <c r="V472" s="497"/>
      <c r="W472" s="497"/>
      <c r="X472" s="497"/>
      <c r="Y472" s="497"/>
      <c r="Z472" s="497"/>
      <c r="AA472" s="497"/>
      <c r="AB472" s="497"/>
      <c r="AC472" s="497"/>
      <c r="AD472" s="497"/>
      <c r="AE472" s="497"/>
      <c r="AF472" s="497"/>
      <c r="AG472" s="497"/>
      <c r="AH472" s="497"/>
      <c r="AI472" s="497"/>
      <c r="AJ472" s="327"/>
      <c r="AK472" s="327"/>
      <c r="AL472" s="327"/>
      <c r="AM472" s="72"/>
      <c r="AN472" s="72"/>
      <c r="AO472" s="72"/>
      <c r="AP472" s="72"/>
      <c r="AQ472" s="72"/>
      <c r="AR472" s="72"/>
      <c r="AS472" s="72"/>
      <c r="AT472" s="72"/>
      <c r="AU472" s="72"/>
      <c r="AV472" s="72"/>
      <c r="AW472" s="72"/>
      <c r="AX472" s="72"/>
      <c r="AY472" s="72"/>
      <c r="AZ472" s="72"/>
      <c r="BA472" s="72"/>
      <c r="BB472" s="72"/>
      <c r="BC472" s="72"/>
      <c r="BD472" s="72"/>
      <c r="BE472" s="72"/>
      <c r="BF472" s="72"/>
      <c r="BG472" s="72"/>
      <c r="BH472" s="72"/>
      <c r="BI472" s="72"/>
      <c r="BJ472" s="72"/>
      <c r="BK472" s="72"/>
      <c r="BL472" s="72"/>
      <c r="BM472" s="72"/>
      <c r="BN472" s="72"/>
      <c r="BO472" s="72"/>
      <c r="BP472" s="72"/>
      <c r="BQ472" s="72"/>
      <c r="BR472" s="72"/>
      <c r="BS472" s="72"/>
      <c r="BT472" s="72"/>
      <c r="BU472" s="72"/>
      <c r="BV472" s="72"/>
      <c r="BW472" s="72"/>
      <c r="BX472" s="72"/>
      <c r="BY472" s="72"/>
      <c r="BZ472" s="72"/>
      <c r="CA472" s="72"/>
      <c r="CB472" s="72"/>
      <c r="CC472" s="72"/>
      <c r="CD472" s="72"/>
      <c r="CE472" s="72"/>
      <c r="CF472" s="72"/>
      <c r="CG472" s="72"/>
      <c r="CH472" s="72"/>
      <c r="CI472" s="72"/>
      <c r="CJ472" s="72"/>
      <c r="CK472" s="72"/>
      <c r="CL472" s="72"/>
      <c r="CM472" s="72"/>
      <c r="CN472" s="72"/>
      <c r="CO472" s="72"/>
      <c r="CP472" s="72"/>
      <c r="CQ472" s="72"/>
      <c r="CR472" s="72"/>
      <c r="CS472" s="72"/>
    </row>
    <row r="473" spans="1:97" ht="13.2">
      <c r="A473" s="2091" t="s">
        <v>1141</v>
      </c>
      <c r="B473" s="2091"/>
      <c r="C473" s="2091"/>
      <c r="D473" s="2091"/>
      <c r="E473" s="2091"/>
      <c r="F473" s="2091"/>
      <c r="G473" s="2091"/>
      <c r="H473" s="2091"/>
      <c r="I473" s="2091"/>
      <c r="J473" s="2091"/>
      <c r="K473" s="2091"/>
      <c r="L473" s="2091"/>
      <c r="M473" s="2091"/>
      <c r="N473" s="2091"/>
      <c r="O473" s="2091"/>
      <c r="P473" s="2091"/>
      <c r="Q473" s="2091"/>
      <c r="R473" s="2091"/>
      <c r="S473" s="2091"/>
      <c r="T473" s="2091"/>
      <c r="U473" s="2091"/>
      <c r="V473" s="2091"/>
      <c r="W473" s="2091"/>
      <c r="X473" s="2091"/>
      <c r="Y473" s="2091"/>
      <c r="Z473" s="2091"/>
      <c r="AA473" s="2091"/>
      <c r="AB473" s="2091"/>
      <c r="AC473" s="2091"/>
      <c r="AD473" s="2091"/>
      <c r="AE473" s="2091"/>
      <c r="AF473" s="2091"/>
      <c r="AG473" s="2091"/>
      <c r="AH473" s="2091"/>
      <c r="AI473" s="2091"/>
      <c r="AJ473" s="2091"/>
      <c r="AK473" s="2091"/>
      <c r="AL473" s="2091"/>
      <c r="AM473" s="72"/>
      <c r="AN473" s="72"/>
      <c r="AO473" s="72"/>
      <c r="AP473" s="72"/>
      <c r="AQ473" s="72"/>
      <c r="AR473" s="72"/>
      <c r="AS473" s="72"/>
      <c r="AT473" s="72"/>
      <c r="AU473" s="72"/>
      <c r="AV473" s="72"/>
      <c r="AW473" s="72"/>
      <c r="AX473" s="72"/>
      <c r="AY473" s="72"/>
      <c r="AZ473" s="72"/>
      <c r="BA473" s="72"/>
      <c r="BB473" s="72"/>
      <c r="BC473" s="72"/>
      <c r="BD473" s="72"/>
      <c r="BE473" s="72"/>
      <c r="BF473" s="72"/>
      <c r="BG473" s="72"/>
      <c r="BH473" s="72"/>
      <c r="BI473" s="72"/>
      <c r="BJ473" s="72"/>
      <c r="BK473" s="72"/>
      <c r="BL473" s="72"/>
      <c r="BM473" s="72"/>
      <c r="BN473" s="72"/>
      <c r="BO473" s="72"/>
      <c r="BP473" s="72"/>
      <c r="BQ473" s="72"/>
      <c r="BR473" s="72"/>
      <c r="BS473" s="72"/>
      <c r="BT473" s="72"/>
      <c r="BU473" s="72"/>
      <c r="BV473" s="72"/>
      <c r="BW473" s="72"/>
      <c r="BX473" s="72"/>
      <c r="BY473" s="72"/>
      <c r="BZ473" s="72"/>
      <c r="CA473" s="72"/>
      <c r="CB473" s="72"/>
      <c r="CC473" s="72"/>
      <c r="CD473" s="72"/>
      <c r="CE473" s="72"/>
      <c r="CF473" s="72"/>
      <c r="CG473" s="72"/>
      <c r="CH473" s="72"/>
      <c r="CI473" s="72"/>
      <c r="CJ473" s="72"/>
      <c r="CK473" s="72"/>
      <c r="CL473" s="72"/>
      <c r="CM473" s="72"/>
      <c r="CN473" s="72"/>
      <c r="CO473" s="72"/>
      <c r="CP473" s="72"/>
      <c r="CQ473" s="72"/>
      <c r="CR473" s="72"/>
      <c r="CS473" s="72"/>
    </row>
    <row r="474" spans="1:97" ht="13.8" thickBot="1">
      <c r="A474" s="2092"/>
      <c r="B474" s="2092"/>
      <c r="C474" s="2092"/>
      <c r="D474" s="2092"/>
      <c r="E474" s="2092"/>
      <c r="F474" s="2092"/>
      <c r="G474" s="2092"/>
      <c r="H474" s="2092"/>
      <c r="I474" s="2092"/>
      <c r="J474" s="2092"/>
      <c r="K474" s="2092"/>
      <c r="L474" s="2092"/>
      <c r="M474" s="2092"/>
      <c r="N474" s="2092"/>
      <c r="O474" s="2092"/>
      <c r="P474" s="2092"/>
      <c r="Q474" s="2092"/>
      <c r="R474" s="2092"/>
      <c r="S474" s="2092"/>
      <c r="T474" s="2092"/>
      <c r="U474" s="2092"/>
      <c r="V474" s="2092"/>
      <c r="W474" s="2092"/>
      <c r="X474" s="2092"/>
      <c r="Y474" s="2092"/>
      <c r="Z474" s="2092"/>
      <c r="AA474" s="2092"/>
      <c r="AB474" s="2092"/>
      <c r="AC474" s="2092"/>
      <c r="AD474" s="2092"/>
      <c r="AE474" s="2092"/>
      <c r="AF474" s="2092"/>
      <c r="AG474" s="2092"/>
      <c r="AH474" s="2092"/>
      <c r="AI474" s="2092"/>
      <c r="AJ474" s="2092"/>
      <c r="AK474" s="2092"/>
      <c r="AL474" s="2092"/>
      <c r="AM474" s="72"/>
      <c r="AN474" s="72"/>
      <c r="AO474" s="72"/>
      <c r="AP474" s="72"/>
      <c r="AQ474" s="72"/>
      <c r="AR474" s="72"/>
      <c r="AS474" s="72"/>
      <c r="AT474" s="72"/>
      <c r="AU474" s="72"/>
      <c r="AV474" s="72"/>
      <c r="AW474" s="72"/>
      <c r="AX474" s="72"/>
      <c r="AY474" s="72"/>
      <c r="AZ474" s="72"/>
      <c r="BA474" s="72"/>
      <c r="BB474" s="72"/>
      <c r="BC474" s="72"/>
      <c r="BD474" s="72"/>
      <c r="BE474" s="72"/>
      <c r="BF474" s="72"/>
      <c r="BG474" s="72"/>
      <c r="BH474" s="72"/>
      <c r="BI474" s="72"/>
      <c r="BJ474" s="72"/>
      <c r="BK474" s="72"/>
      <c r="BL474" s="72"/>
      <c r="BM474" s="72"/>
      <c r="BN474" s="72"/>
      <c r="BO474" s="72"/>
      <c r="BP474" s="72"/>
      <c r="BQ474" s="72"/>
      <c r="BR474" s="72"/>
      <c r="BS474" s="72"/>
      <c r="BT474" s="72"/>
      <c r="BU474" s="72"/>
      <c r="BV474" s="72"/>
      <c r="BW474" s="72"/>
      <c r="BX474" s="72"/>
      <c r="BY474" s="72"/>
      <c r="BZ474" s="72"/>
      <c r="CA474" s="72"/>
      <c r="CB474" s="72"/>
      <c r="CC474" s="72"/>
      <c r="CD474" s="72"/>
      <c r="CE474" s="72"/>
      <c r="CF474" s="72"/>
      <c r="CG474" s="72"/>
      <c r="CH474" s="72"/>
      <c r="CI474" s="72"/>
      <c r="CJ474" s="72"/>
      <c r="CK474" s="72"/>
      <c r="CL474" s="72"/>
      <c r="CM474" s="72"/>
      <c r="CN474" s="72"/>
      <c r="CO474" s="72"/>
      <c r="CP474" s="72"/>
      <c r="CQ474" s="72"/>
      <c r="CR474" s="72"/>
      <c r="CS474" s="72"/>
    </row>
    <row r="475" spans="1:97" ht="13.8" thickTop="1">
      <c r="A475" s="35"/>
      <c r="B475" s="35"/>
      <c r="C475" s="35"/>
      <c r="D475" s="35"/>
      <c r="E475" s="35"/>
      <c r="F475" s="35"/>
      <c r="G475" s="3"/>
      <c r="H475" s="35"/>
      <c r="AM475" s="72"/>
      <c r="AN475" s="72"/>
      <c r="AO475" s="72"/>
      <c r="AP475" s="72"/>
      <c r="AQ475" s="72"/>
      <c r="AR475" s="72"/>
      <c r="AS475" s="72"/>
      <c r="AT475" s="72"/>
      <c r="AU475" s="72"/>
      <c r="AV475" s="72"/>
      <c r="AW475" s="72"/>
      <c r="AX475" s="72"/>
      <c r="AY475" s="72"/>
      <c r="AZ475" s="72"/>
      <c r="BA475" s="72"/>
      <c r="BB475" s="72"/>
      <c r="BC475" s="72"/>
      <c r="BD475" s="72"/>
      <c r="BE475" s="72"/>
      <c r="BF475" s="72"/>
      <c r="BG475" s="72"/>
      <c r="BH475" s="72"/>
      <c r="BI475" s="72"/>
      <c r="BJ475" s="72"/>
      <c r="BK475" s="72"/>
      <c r="BL475" s="72"/>
      <c r="BM475" s="72"/>
      <c r="BN475" s="72"/>
      <c r="BO475" s="72"/>
      <c r="BP475" s="72"/>
      <c r="BQ475" s="72"/>
      <c r="BR475" s="72"/>
      <c r="BS475" s="72"/>
      <c r="BT475" s="72"/>
      <c r="BU475" s="72"/>
      <c r="BV475" s="72"/>
      <c r="BW475" s="72"/>
      <c r="BX475" s="72"/>
      <c r="BY475" s="72"/>
      <c r="BZ475" s="72"/>
      <c r="CA475" s="72"/>
      <c r="CB475" s="72"/>
      <c r="CC475" s="72"/>
      <c r="CD475" s="72"/>
      <c r="CE475" s="72"/>
      <c r="CF475" s="72"/>
      <c r="CG475" s="72"/>
      <c r="CH475" s="72"/>
      <c r="CI475" s="72"/>
      <c r="CJ475" s="72"/>
      <c r="CK475" s="72"/>
      <c r="CL475" s="72"/>
      <c r="CM475" s="72"/>
      <c r="CN475" s="72"/>
      <c r="CO475" s="72"/>
      <c r="CP475" s="72"/>
      <c r="CQ475" s="72"/>
      <c r="CR475" s="72"/>
      <c r="CS475" s="72"/>
    </row>
    <row r="476" spans="1:97" ht="13.2">
      <c r="A476" s="63" t="s">
        <v>719</v>
      </c>
      <c r="C476" s="63" t="s">
        <v>1140</v>
      </c>
      <c r="AM476" s="72"/>
      <c r="AN476" s="72"/>
      <c r="AO476" s="72"/>
      <c r="AP476" s="72"/>
      <c r="AQ476" s="72"/>
      <c r="AR476" s="72"/>
      <c r="AS476" s="72"/>
      <c r="AT476" s="72"/>
      <c r="AU476" s="72"/>
      <c r="AV476" s="72"/>
      <c r="AW476" s="72"/>
      <c r="AX476" s="72"/>
      <c r="AY476" s="72"/>
      <c r="AZ476" s="72"/>
      <c r="BA476" s="72"/>
      <c r="BB476" s="72"/>
      <c r="BC476" s="72"/>
      <c r="BD476" s="72"/>
      <c r="BE476" s="72"/>
      <c r="BF476" s="72"/>
      <c r="BG476" s="72"/>
      <c r="BH476" s="72"/>
      <c r="BI476" s="72"/>
      <c r="BJ476" s="72"/>
      <c r="BK476" s="72"/>
      <c r="BL476" s="72"/>
      <c r="BM476" s="72"/>
      <c r="BN476" s="72"/>
      <c r="BO476" s="72"/>
      <c r="BP476" s="72"/>
      <c r="BQ476" s="72"/>
      <c r="BR476" s="72"/>
      <c r="BS476" s="72"/>
      <c r="BT476" s="72"/>
      <c r="BU476" s="72"/>
      <c r="BV476" s="72"/>
      <c r="BW476" s="72"/>
      <c r="BX476" s="72"/>
      <c r="BY476" s="72"/>
      <c r="BZ476" s="72"/>
      <c r="CA476" s="72"/>
      <c r="CB476" s="72"/>
      <c r="CC476" s="72"/>
      <c r="CD476" s="72"/>
      <c r="CE476" s="72"/>
      <c r="CF476" s="72"/>
      <c r="CG476" s="72"/>
      <c r="CH476" s="72"/>
      <c r="CI476" s="72"/>
      <c r="CJ476" s="72"/>
      <c r="CK476" s="72"/>
      <c r="CL476" s="72"/>
      <c r="CM476" s="72"/>
      <c r="CN476" s="72"/>
      <c r="CO476" s="72"/>
      <c r="CP476" s="72"/>
      <c r="CQ476" s="72"/>
      <c r="CR476" s="72"/>
      <c r="CS476" s="72"/>
    </row>
    <row r="477" spans="1:97" ht="13.2">
      <c r="B477" s="63"/>
      <c r="C477" s="63"/>
      <c r="D477" s="63"/>
      <c r="AM477" s="72"/>
      <c r="AN477" s="72"/>
      <c r="AO477" s="72"/>
      <c r="AP477" s="72"/>
      <c r="AQ477" s="72"/>
      <c r="AR477" s="72"/>
      <c r="AS477" s="72"/>
      <c r="AT477" s="72"/>
      <c r="AU477" s="72"/>
      <c r="AV477" s="72"/>
      <c r="AW477" s="72"/>
      <c r="AX477" s="72"/>
      <c r="AY477" s="72"/>
      <c r="AZ477" s="72"/>
      <c r="BA477" s="72"/>
      <c r="BB477" s="72"/>
      <c r="BC477" s="72"/>
      <c r="BD477" s="72"/>
      <c r="BE477" s="72"/>
      <c r="BF477" s="72"/>
      <c r="BG477" s="72"/>
      <c r="BH477" s="72"/>
      <c r="BI477" s="72"/>
      <c r="BJ477" s="72"/>
      <c r="BK477" s="72"/>
      <c r="BL477" s="72"/>
      <c r="BM477" s="72"/>
      <c r="BN477" s="72"/>
      <c r="BO477" s="72"/>
      <c r="BP477" s="72"/>
      <c r="BQ477" s="72"/>
      <c r="BR477" s="72"/>
      <c r="BS477" s="72"/>
      <c r="BT477" s="72"/>
      <c r="BU477" s="72"/>
      <c r="BV477" s="72"/>
      <c r="BW477" s="72"/>
      <c r="BX477" s="72"/>
      <c r="BY477" s="72"/>
      <c r="BZ477" s="72"/>
      <c r="CA477" s="72"/>
      <c r="CB477" s="72"/>
      <c r="CC477" s="72"/>
      <c r="CD477" s="72"/>
      <c r="CE477" s="72"/>
      <c r="CF477" s="72"/>
      <c r="CG477" s="72"/>
      <c r="CH477" s="72"/>
      <c r="CI477" s="72"/>
      <c r="CJ477" s="72"/>
      <c r="CK477" s="72"/>
      <c r="CL477" s="72"/>
      <c r="CM477" s="72"/>
      <c r="CN477" s="72"/>
      <c r="CO477" s="72"/>
      <c r="CP477" s="72"/>
      <c r="CQ477" s="72"/>
      <c r="CR477" s="72"/>
      <c r="CS477" s="72"/>
    </row>
    <row r="478" spans="1:97" ht="13.2">
      <c r="B478" s="63"/>
      <c r="C478" s="63"/>
      <c r="D478" s="63"/>
      <c r="E478" s="85"/>
      <c r="F478" s="86"/>
      <c r="G478" s="86"/>
      <c r="H478" s="86"/>
      <c r="I478" s="86"/>
      <c r="J478" s="86"/>
      <c r="K478" s="86"/>
      <c r="L478" s="86"/>
      <c r="M478" s="86"/>
      <c r="N478" s="86"/>
      <c r="O478" s="86"/>
      <c r="P478" s="86"/>
      <c r="Q478" s="86"/>
      <c r="R478" s="86"/>
      <c r="S478" s="108"/>
      <c r="T478" s="1932" t="s">
        <v>1142</v>
      </c>
      <c r="U478" s="1933"/>
      <c r="V478" s="1933"/>
      <c r="W478" s="1933"/>
      <c r="X478" s="1933"/>
      <c r="Y478" s="1933"/>
      <c r="Z478" s="1933"/>
      <c r="AA478" s="1933"/>
      <c r="AB478" s="1933"/>
      <c r="AC478" s="1933"/>
      <c r="AD478" s="1933"/>
      <c r="AE478" s="1933"/>
      <c r="AF478" s="1933"/>
      <c r="AG478" s="1933"/>
      <c r="AH478" s="1934"/>
      <c r="AM478" s="72"/>
      <c r="AN478" s="72"/>
      <c r="AO478" s="72"/>
      <c r="AP478" s="72"/>
      <c r="AQ478" s="72"/>
      <c r="AR478" s="72"/>
      <c r="AS478" s="72"/>
      <c r="AT478" s="72"/>
      <c r="AU478" s="72"/>
      <c r="AV478" s="72"/>
      <c r="AW478" s="72"/>
      <c r="AX478" s="72"/>
      <c r="AY478" s="72"/>
      <c r="AZ478" s="72"/>
      <c r="BA478" s="72"/>
      <c r="BB478" s="72"/>
      <c r="BC478" s="72"/>
      <c r="BD478" s="72"/>
      <c r="BE478" s="72"/>
      <c r="BF478" s="72"/>
      <c r="BG478" s="72"/>
      <c r="BH478" s="72"/>
      <c r="BI478" s="72"/>
      <c r="BJ478" s="72"/>
      <c r="BK478" s="72"/>
      <c r="BL478" s="72"/>
      <c r="BM478" s="72"/>
      <c r="BN478" s="72"/>
      <c r="BO478" s="72"/>
      <c r="BP478" s="72"/>
      <c r="BQ478" s="72"/>
      <c r="BR478" s="72"/>
      <c r="BS478" s="72"/>
      <c r="BT478" s="72"/>
      <c r="BU478" s="72"/>
      <c r="BV478" s="72"/>
      <c r="BW478" s="72"/>
      <c r="BX478" s="72"/>
      <c r="BY478" s="72"/>
      <c r="BZ478" s="72"/>
      <c r="CA478" s="72"/>
      <c r="CB478" s="72"/>
      <c r="CC478" s="72"/>
      <c r="CD478" s="72"/>
      <c r="CE478" s="72"/>
      <c r="CF478" s="72"/>
      <c r="CG478" s="72"/>
      <c r="CH478" s="72"/>
      <c r="CI478" s="72"/>
      <c r="CJ478" s="72"/>
      <c r="CK478" s="72"/>
      <c r="CL478" s="72"/>
      <c r="CM478" s="72"/>
      <c r="CN478" s="72"/>
      <c r="CO478" s="72"/>
      <c r="CP478" s="72"/>
      <c r="CQ478" s="72"/>
      <c r="CR478" s="72"/>
      <c r="CS478" s="72"/>
    </row>
    <row r="479" spans="1:97" ht="13.2">
      <c r="E479" s="317"/>
      <c r="F479" s="35"/>
      <c r="G479" s="35"/>
      <c r="H479" s="35"/>
      <c r="I479" s="35"/>
      <c r="J479" s="35"/>
      <c r="K479" s="35"/>
      <c r="L479" s="35"/>
      <c r="M479" s="35"/>
      <c r="N479" s="35"/>
      <c r="O479" s="35"/>
      <c r="P479" s="35"/>
      <c r="Q479" s="35"/>
      <c r="R479" s="35"/>
      <c r="S479" s="115"/>
      <c r="T479" s="1962" t="s">
        <v>873</v>
      </c>
      <c r="U479" s="1962"/>
      <c r="V479" s="1962"/>
      <c r="W479" s="1962"/>
      <c r="X479" s="1962"/>
      <c r="Y479" s="1962" t="s">
        <v>874</v>
      </c>
      <c r="Z479" s="1962"/>
      <c r="AA479" s="1962"/>
      <c r="AB479" s="1962"/>
      <c r="AC479" s="1962"/>
      <c r="AD479" s="1962" t="s">
        <v>934</v>
      </c>
      <c r="AE479" s="1962"/>
      <c r="AF479" s="1962"/>
      <c r="AG479" s="1962"/>
      <c r="AH479" s="1962"/>
      <c r="AM479" s="72"/>
      <c r="AN479" s="72"/>
      <c r="AO479" s="72"/>
      <c r="AP479" s="72"/>
      <c r="AQ479" s="72"/>
      <c r="AR479" s="72"/>
      <c r="AS479" s="72"/>
      <c r="AT479" s="72"/>
      <c r="AU479" s="72"/>
      <c r="AV479" s="72"/>
      <c r="AW479" s="72"/>
      <c r="AX479" s="72"/>
      <c r="AY479" s="72"/>
      <c r="AZ479" s="72"/>
      <c r="BA479" s="72"/>
      <c r="BB479" s="72"/>
      <c r="BC479" s="72"/>
      <c r="BD479" s="72"/>
      <c r="BE479" s="72"/>
      <c r="BF479" s="72"/>
      <c r="BG479" s="72"/>
      <c r="BH479" s="72"/>
      <c r="BI479" s="72"/>
      <c r="BJ479" s="72"/>
      <c r="BK479" s="72"/>
      <c r="BL479" s="72"/>
      <c r="BM479" s="72"/>
      <c r="BN479" s="72"/>
      <c r="BO479" s="72"/>
      <c r="BP479" s="72"/>
      <c r="BQ479" s="72"/>
      <c r="BR479" s="72"/>
      <c r="BS479" s="72"/>
      <c r="BT479" s="72"/>
      <c r="BU479" s="72"/>
      <c r="BV479" s="72"/>
      <c r="BW479" s="72"/>
      <c r="BX479" s="72"/>
      <c r="BY479" s="72"/>
      <c r="BZ479" s="72"/>
      <c r="CA479" s="72"/>
      <c r="CB479" s="72"/>
      <c r="CC479" s="72"/>
      <c r="CD479" s="72"/>
      <c r="CE479" s="72"/>
      <c r="CF479" s="72"/>
      <c r="CG479" s="72"/>
      <c r="CH479" s="72"/>
      <c r="CI479" s="72"/>
      <c r="CJ479" s="72"/>
      <c r="CK479" s="72"/>
      <c r="CL479" s="72"/>
      <c r="CM479" s="72"/>
      <c r="CN479" s="72"/>
      <c r="CO479" s="72"/>
      <c r="CP479" s="72"/>
      <c r="CQ479" s="72"/>
      <c r="CR479" s="72"/>
      <c r="CS479" s="72"/>
    </row>
    <row r="480" spans="1:97" ht="13.2">
      <c r="E480" s="93"/>
      <c r="F480" s="94"/>
      <c r="G480" s="94"/>
      <c r="H480" s="94"/>
      <c r="I480" s="94"/>
      <c r="J480" s="94"/>
      <c r="K480" s="94"/>
      <c r="L480" s="94"/>
      <c r="M480" s="94"/>
      <c r="N480" s="94"/>
      <c r="O480" s="94"/>
      <c r="P480" s="94"/>
      <c r="Q480" s="94"/>
      <c r="R480" s="94"/>
      <c r="S480" s="95"/>
      <c r="T480" s="1962"/>
      <c r="U480" s="1962"/>
      <c r="V480" s="1962"/>
      <c r="W480" s="1962"/>
      <c r="X480" s="1962"/>
      <c r="Y480" s="1962"/>
      <c r="Z480" s="1962"/>
      <c r="AA480" s="1962"/>
      <c r="AB480" s="1962"/>
      <c r="AC480" s="1962"/>
      <c r="AD480" s="1962"/>
      <c r="AE480" s="1962"/>
      <c r="AF480" s="1962"/>
      <c r="AG480" s="1962"/>
      <c r="AH480" s="1962"/>
      <c r="AM480" s="72"/>
      <c r="AN480" s="72"/>
      <c r="AO480" s="72"/>
      <c r="AP480" s="72"/>
      <c r="AQ480" s="72"/>
      <c r="AR480" s="72"/>
      <c r="AS480" s="72"/>
      <c r="AT480" s="72"/>
      <c r="AU480" s="72"/>
      <c r="AV480" s="72"/>
      <c r="AW480" s="72"/>
      <c r="AX480" s="72"/>
      <c r="AY480" s="72"/>
      <c r="AZ480" s="72"/>
      <c r="BA480" s="72"/>
      <c r="BB480" s="72"/>
      <c r="BC480" s="72"/>
      <c r="BD480" s="72"/>
      <c r="BE480" s="72"/>
      <c r="BF480" s="72"/>
      <c r="BG480" s="72"/>
      <c r="BH480" s="72"/>
      <c r="BI480" s="72"/>
      <c r="BJ480" s="72"/>
      <c r="BK480" s="72"/>
      <c r="BL480" s="72"/>
      <c r="BM480" s="72"/>
      <c r="BN480" s="72"/>
      <c r="BO480" s="72"/>
      <c r="BP480" s="72"/>
      <c r="BQ480" s="72"/>
      <c r="BR480" s="72"/>
      <c r="BS480" s="72"/>
      <c r="BT480" s="72"/>
      <c r="BU480" s="72"/>
      <c r="BV480" s="72"/>
      <c r="BW480" s="72"/>
      <c r="BX480" s="72"/>
      <c r="BY480" s="72"/>
      <c r="BZ480" s="72"/>
      <c r="CA480" s="72"/>
      <c r="CB480" s="72"/>
      <c r="CC480" s="72"/>
      <c r="CD480" s="72"/>
      <c r="CE480" s="72"/>
      <c r="CF480" s="72"/>
      <c r="CG480" s="72"/>
      <c r="CH480" s="72"/>
      <c r="CI480" s="72"/>
      <c r="CJ480" s="72"/>
      <c r="CK480" s="72"/>
      <c r="CL480" s="72"/>
      <c r="CM480" s="72"/>
      <c r="CN480" s="72"/>
      <c r="CO480" s="72"/>
      <c r="CP480" s="72"/>
      <c r="CQ480" s="72"/>
      <c r="CR480" s="72"/>
      <c r="CS480" s="72"/>
    </row>
    <row r="481" spans="2:97" ht="13.2">
      <c r="E481" s="90" t="s">
        <v>556</v>
      </c>
      <c r="F481" s="91"/>
      <c r="G481" s="91"/>
      <c r="H481" s="91"/>
      <c r="I481" s="91"/>
      <c r="J481" s="91"/>
      <c r="K481" s="91"/>
      <c r="L481" s="91"/>
      <c r="M481" s="91"/>
      <c r="N481" s="91"/>
      <c r="O481" s="91"/>
      <c r="P481" s="91"/>
      <c r="Q481" s="91"/>
      <c r="R481" s="91"/>
      <c r="S481" s="92"/>
      <c r="T481" s="1902" t="s">
        <v>136</v>
      </c>
      <c r="U481" s="1903"/>
      <c r="V481" s="1903"/>
      <c r="W481" s="1903"/>
      <c r="X481" s="1903"/>
      <c r="Y481" s="1902" t="s">
        <v>136</v>
      </c>
      <c r="Z481" s="1903"/>
      <c r="AA481" s="1903"/>
      <c r="AB481" s="1903"/>
      <c r="AC481" s="1903"/>
      <c r="AD481" s="1903">
        <v>43816</v>
      </c>
      <c r="AE481" s="1903"/>
      <c r="AF481" s="1903"/>
      <c r="AG481" s="1903"/>
      <c r="AH481" s="1903"/>
      <c r="AM481" s="72"/>
      <c r="AN481" s="72"/>
      <c r="AO481" s="72"/>
      <c r="AP481" s="72"/>
      <c r="AQ481" s="72"/>
      <c r="AR481" s="72"/>
      <c r="AS481" s="72"/>
      <c r="AT481" s="72"/>
      <c r="AU481" s="72"/>
      <c r="AV481" s="72"/>
      <c r="AW481" s="72"/>
      <c r="AX481" s="72"/>
      <c r="AY481" s="72"/>
      <c r="AZ481" s="72"/>
      <c r="BA481" s="72"/>
      <c r="BB481" s="72"/>
      <c r="BC481" s="72"/>
      <c r="BD481" s="72"/>
      <c r="BE481" s="72"/>
      <c r="BF481" s="72"/>
      <c r="BG481" s="72"/>
      <c r="BH481" s="72"/>
      <c r="BI481" s="72"/>
      <c r="BJ481" s="72"/>
      <c r="BK481" s="72"/>
      <c r="BL481" s="72"/>
      <c r="BM481" s="72"/>
      <c r="BN481" s="72"/>
      <c r="BO481" s="72"/>
      <c r="BP481" s="72"/>
      <c r="BQ481" s="72"/>
      <c r="BR481" s="72"/>
      <c r="BS481" s="72"/>
      <c r="BT481" s="72"/>
      <c r="BU481" s="72"/>
      <c r="BV481" s="72"/>
      <c r="BW481" s="72"/>
      <c r="BX481" s="72"/>
      <c r="BY481" s="72"/>
      <c r="BZ481" s="72"/>
      <c r="CA481" s="72"/>
      <c r="CB481" s="72"/>
      <c r="CC481" s="72"/>
      <c r="CD481" s="72"/>
      <c r="CE481" s="72"/>
      <c r="CF481" s="72"/>
      <c r="CG481" s="72"/>
      <c r="CH481" s="72"/>
      <c r="CI481" s="72"/>
      <c r="CJ481" s="72"/>
      <c r="CK481" s="72"/>
      <c r="CL481" s="72"/>
      <c r="CM481" s="72"/>
      <c r="CN481" s="72"/>
      <c r="CO481" s="72"/>
      <c r="CP481" s="72"/>
      <c r="CQ481" s="72"/>
      <c r="CR481" s="72"/>
      <c r="CS481" s="72"/>
    </row>
    <row r="482" spans="2:97" ht="13.2">
      <c r="E482" s="90" t="s">
        <v>557</v>
      </c>
      <c r="F482" s="91"/>
      <c r="G482" s="91"/>
      <c r="H482" s="91"/>
      <c r="I482" s="91"/>
      <c r="J482" s="91"/>
      <c r="K482" s="91"/>
      <c r="L482" s="91"/>
      <c r="M482" s="91"/>
      <c r="N482" s="91"/>
      <c r="O482" s="91"/>
      <c r="P482" s="91"/>
      <c r="Q482" s="91"/>
      <c r="R482" s="91"/>
      <c r="S482" s="91"/>
      <c r="T482" s="1902" t="s">
        <v>136</v>
      </c>
      <c r="U482" s="1903"/>
      <c r="V482" s="1903"/>
      <c r="W482" s="1903"/>
      <c r="X482" s="1903"/>
      <c r="Y482" s="1902" t="s">
        <v>136</v>
      </c>
      <c r="Z482" s="1903"/>
      <c r="AA482" s="1903"/>
      <c r="AB482" s="1903"/>
      <c r="AC482" s="1903"/>
      <c r="AD482" s="1903" t="s">
        <v>136</v>
      </c>
      <c r="AE482" s="1903"/>
      <c r="AF482" s="1903"/>
      <c r="AG482" s="1903"/>
      <c r="AH482" s="1903"/>
      <c r="AM482" s="72"/>
      <c r="AN482" s="72"/>
      <c r="AO482" s="72"/>
      <c r="AP482" s="72"/>
      <c r="AQ482" s="72"/>
      <c r="AR482" s="72"/>
      <c r="AS482" s="72"/>
      <c r="AT482" s="72"/>
      <c r="AU482" s="72"/>
      <c r="AV482" s="72"/>
      <c r="AW482" s="72"/>
      <c r="AX482" s="72"/>
      <c r="AY482" s="72"/>
      <c r="AZ482" s="72"/>
      <c r="BA482" s="72"/>
      <c r="BB482" s="72"/>
      <c r="BC482" s="72"/>
      <c r="BD482" s="72"/>
      <c r="BE482" s="72"/>
      <c r="BF482" s="72"/>
      <c r="BG482" s="72"/>
      <c r="BH482" s="72"/>
      <c r="BI482" s="72"/>
      <c r="BJ482" s="72"/>
      <c r="BK482" s="72"/>
      <c r="BL482" s="72"/>
      <c r="BM482" s="72"/>
      <c r="BN482" s="72"/>
      <c r="BO482" s="72"/>
      <c r="BP482" s="72"/>
      <c r="BQ482" s="72"/>
      <c r="BR482" s="72"/>
      <c r="BS482" s="72"/>
      <c r="BT482" s="72"/>
      <c r="BU482" s="72"/>
      <c r="BV482" s="72"/>
      <c r="BW482" s="72"/>
      <c r="BX482" s="72"/>
      <c r="BY482" s="72"/>
      <c r="BZ482" s="72"/>
      <c r="CA482" s="72"/>
      <c r="CB482" s="72"/>
      <c r="CC482" s="72"/>
      <c r="CD482" s="72"/>
      <c r="CE482" s="72"/>
      <c r="CF482" s="72"/>
      <c r="CG482" s="72"/>
      <c r="CH482" s="72"/>
      <c r="CI482" s="72"/>
      <c r="CJ482" s="72"/>
      <c r="CK482" s="72"/>
      <c r="CL482" s="72"/>
      <c r="CM482" s="72"/>
      <c r="CN482" s="72"/>
      <c r="CO482" s="72"/>
      <c r="CP482" s="72"/>
      <c r="CQ482" s="72"/>
      <c r="CR482" s="72"/>
      <c r="CS482" s="72"/>
    </row>
    <row r="483" spans="2:97" ht="13.2">
      <c r="E483" s="90" t="s">
        <v>558</v>
      </c>
      <c r="F483" s="91"/>
      <c r="G483" s="91"/>
      <c r="H483" s="91"/>
      <c r="I483" s="91"/>
      <c r="J483" s="91"/>
      <c r="K483" s="91"/>
      <c r="L483" s="91"/>
      <c r="M483" s="91"/>
      <c r="N483" s="91"/>
      <c r="O483" s="91"/>
      <c r="P483" s="91"/>
      <c r="Q483" s="91"/>
      <c r="R483" s="91"/>
      <c r="S483" s="91"/>
      <c r="T483" s="1902" t="s">
        <v>136</v>
      </c>
      <c r="U483" s="1903"/>
      <c r="V483" s="1903"/>
      <c r="W483" s="1903"/>
      <c r="X483" s="1903"/>
      <c r="Y483" s="1902" t="s">
        <v>136</v>
      </c>
      <c r="Z483" s="1903"/>
      <c r="AA483" s="1903"/>
      <c r="AB483" s="1903"/>
      <c r="AC483" s="1903"/>
      <c r="AD483" s="1902" t="s">
        <v>136</v>
      </c>
      <c r="AE483" s="1903"/>
      <c r="AF483" s="1903"/>
      <c r="AG483" s="1903"/>
      <c r="AH483" s="1903"/>
      <c r="AM483" s="72"/>
      <c r="AN483" s="72"/>
      <c r="AO483" s="72"/>
      <c r="AP483" s="72"/>
      <c r="AQ483" s="72"/>
      <c r="AR483" s="72"/>
      <c r="AS483" s="72"/>
      <c r="AT483" s="72"/>
      <c r="AU483" s="72"/>
      <c r="AV483" s="72"/>
      <c r="AW483" s="72"/>
      <c r="AX483" s="72"/>
      <c r="AY483" s="72"/>
      <c r="AZ483" s="72"/>
      <c r="BA483" s="72"/>
      <c r="BB483" s="72"/>
      <c r="BC483" s="72"/>
      <c r="BD483" s="72"/>
      <c r="BE483" s="72"/>
      <c r="BF483" s="72"/>
      <c r="BG483" s="72"/>
      <c r="BH483" s="72"/>
      <c r="BI483" s="72"/>
      <c r="BJ483" s="72"/>
      <c r="BK483" s="72"/>
      <c r="BL483" s="72"/>
      <c r="BM483" s="72"/>
      <c r="BN483" s="72"/>
      <c r="BO483" s="72"/>
      <c r="BP483" s="72"/>
      <c r="BQ483" s="72"/>
      <c r="BR483" s="72"/>
      <c r="BS483" s="72"/>
      <c r="BT483" s="72"/>
      <c r="BU483" s="72"/>
      <c r="BV483" s="72"/>
      <c r="BW483" s="72"/>
      <c r="BX483" s="72"/>
      <c r="BY483" s="72"/>
      <c r="BZ483" s="72"/>
      <c r="CA483" s="72"/>
      <c r="CB483" s="72"/>
      <c r="CC483" s="72"/>
      <c r="CD483" s="72"/>
      <c r="CE483" s="72"/>
      <c r="CF483" s="72"/>
      <c r="CG483" s="72"/>
      <c r="CH483" s="72"/>
      <c r="CI483" s="72"/>
      <c r="CJ483" s="72"/>
      <c r="CK483" s="72"/>
      <c r="CL483" s="72"/>
      <c r="CM483" s="72"/>
      <c r="CN483" s="72"/>
      <c r="CO483" s="72"/>
      <c r="CP483" s="72"/>
      <c r="CQ483" s="72"/>
      <c r="CR483" s="72"/>
      <c r="CS483" s="72"/>
    </row>
    <row r="484" spans="2:97" ht="13.2">
      <c r="E484" s="90" t="s">
        <v>559</v>
      </c>
      <c r="F484" s="91"/>
      <c r="G484" s="91"/>
      <c r="H484" s="91"/>
      <c r="I484" s="91"/>
      <c r="J484" s="91"/>
      <c r="K484" s="91"/>
      <c r="L484" s="91"/>
      <c r="M484" s="91"/>
      <c r="N484" s="91"/>
      <c r="O484" s="91"/>
      <c r="P484" s="91"/>
      <c r="Q484" s="91"/>
      <c r="R484" s="91"/>
      <c r="S484" s="91"/>
      <c r="T484" s="1902" t="s">
        <v>136</v>
      </c>
      <c r="U484" s="1903"/>
      <c r="V484" s="1903"/>
      <c r="W484" s="1903"/>
      <c r="X484" s="1903"/>
      <c r="Y484" s="1902" t="s">
        <v>136</v>
      </c>
      <c r="Z484" s="1903"/>
      <c r="AA484" s="1903"/>
      <c r="AB484" s="1903"/>
      <c r="AC484" s="1903"/>
      <c r="AD484" s="1902" t="s">
        <v>136</v>
      </c>
      <c r="AE484" s="1903"/>
      <c r="AF484" s="1903"/>
      <c r="AG484" s="1903"/>
      <c r="AH484" s="1903"/>
      <c r="AM484" s="72"/>
      <c r="AN484" s="72"/>
      <c r="AO484" s="72"/>
      <c r="AP484" s="72"/>
      <c r="AQ484" s="72"/>
      <c r="AR484" s="72"/>
      <c r="AS484" s="72"/>
      <c r="AT484" s="72"/>
      <c r="AU484" s="72"/>
      <c r="AV484" s="72"/>
      <c r="AW484" s="72"/>
      <c r="AX484" s="72"/>
      <c r="AY484" s="72"/>
      <c r="AZ484" s="72"/>
      <c r="BA484" s="72"/>
      <c r="BB484" s="72"/>
      <c r="BC484" s="72"/>
      <c r="BD484" s="72"/>
      <c r="BE484" s="72"/>
      <c r="BF484" s="72"/>
      <c r="BG484" s="72"/>
      <c r="BH484" s="72"/>
      <c r="BI484" s="72"/>
      <c r="BJ484" s="72"/>
      <c r="BK484" s="72"/>
      <c r="BL484" s="72"/>
      <c r="BM484" s="72"/>
      <c r="BN484" s="72"/>
      <c r="BO484" s="72"/>
      <c r="BP484" s="72"/>
      <c r="BQ484" s="72"/>
      <c r="BR484" s="72"/>
      <c r="BS484" s="72"/>
      <c r="BT484" s="72"/>
      <c r="BU484" s="72"/>
      <c r="BV484" s="72"/>
      <c r="BW484" s="72"/>
      <c r="BX484" s="72"/>
      <c r="BY484" s="72"/>
      <c r="BZ484" s="72"/>
      <c r="CA484" s="72"/>
      <c r="CB484" s="72"/>
      <c r="CC484" s="72"/>
      <c r="CD484" s="72"/>
      <c r="CE484" s="72"/>
      <c r="CF484" s="72"/>
      <c r="CG484" s="72"/>
      <c r="CH484" s="72"/>
      <c r="CI484" s="72"/>
      <c r="CJ484" s="72"/>
      <c r="CK484" s="72"/>
      <c r="CL484" s="72"/>
      <c r="CM484" s="72"/>
      <c r="CN484" s="72"/>
      <c r="CO484" s="72"/>
      <c r="CP484" s="72"/>
      <c r="CQ484" s="72"/>
      <c r="CR484" s="72"/>
      <c r="CS484" s="72"/>
    </row>
    <row r="485" spans="2:97" ht="13.2">
      <c r="E485" s="90" t="s">
        <v>560</v>
      </c>
      <c r="F485" s="91"/>
      <c r="G485" s="91"/>
      <c r="H485" s="91"/>
      <c r="I485" s="91"/>
      <c r="J485" s="91"/>
      <c r="K485" s="91"/>
      <c r="L485" s="91"/>
      <c r="M485" s="91"/>
      <c r="N485" s="91"/>
      <c r="O485" s="91"/>
      <c r="P485" s="91"/>
      <c r="Q485" s="91"/>
      <c r="R485" s="91"/>
      <c r="S485" s="91"/>
      <c r="T485" s="1902" t="s">
        <v>136</v>
      </c>
      <c r="U485" s="1903"/>
      <c r="V485" s="1903"/>
      <c r="W485" s="1903"/>
      <c r="X485" s="1903"/>
      <c r="Y485" s="1902" t="s">
        <v>136</v>
      </c>
      <c r="Z485" s="1903"/>
      <c r="AA485" s="1903"/>
      <c r="AB485" s="1903"/>
      <c r="AC485" s="1903"/>
      <c r="AD485" s="1902" t="s">
        <v>136</v>
      </c>
      <c r="AE485" s="1903"/>
      <c r="AF485" s="1903"/>
      <c r="AG485" s="1903"/>
      <c r="AH485" s="1903"/>
      <c r="AM485" s="72"/>
      <c r="AN485" s="72"/>
      <c r="AO485" s="72"/>
      <c r="AP485" s="72"/>
      <c r="AQ485" s="72"/>
      <c r="AR485" s="72"/>
      <c r="AS485" s="72"/>
      <c r="AT485" s="72"/>
      <c r="AU485" s="72"/>
      <c r="AV485" s="72"/>
      <c r="AW485" s="72"/>
      <c r="AX485" s="72"/>
      <c r="AY485" s="72"/>
      <c r="AZ485" s="72"/>
      <c r="BA485" s="72"/>
      <c r="BB485" s="72"/>
      <c r="BC485" s="72"/>
      <c r="BD485" s="72"/>
      <c r="BE485" s="72"/>
      <c r="BF485" s="72"/>
      <c r="BG485" s="72"/>
      <c r="BH485" s="72"/>
      <c r="BI485" s="72"/>
      <c r="BJ485" s="72"/>
      <c r="BK485" s="72"/>
      <c r="BL485" s="72"/>
      <c r="BM485" s="72"/>
      <c r="BN485" s="72"/>
      <c r="BO485" s="72"/>
      <c r="BP485" s="72"/>
      <c r="BQ485" s="72"/>
      <c r="BR485" s="72"/>
      <c r="BS485" s="72"/>
      <c r="BT485" s="72"/>
      <c r="BU485" s="72"/>
      <c r="BV485" s="72"/>
      <c r="BW485" s="72"/>
      <c r="BX485" s="72"/>
      <c r="BY485" s="72"/>
      <c r="BZ485" s="72"/>
      <c r="CA485" s="72"/>
      <c r="CB485" s="72"/>
      <c r="CC485" s="72"/>
      <c r="CD485" s="72"/>
      <c r="CE485" s="72"/>
      <c r="CF485" s="72"/>
      <c r="CG485" s="72"/>
      <c r="CH485" s="72"/>
      <c r="CI485" s="72"/>
      <c r="CJ485" s="72"/>
      <c r="CK485" s="72"/>
      <c r="CL485" s="72"/>
      <c r="CM485" s="72"/>
      <c r="CN485" s="72"/>
      <c r="CO485" s="72"/>
      <c r="CP485" s="72"/>
      <c r="CQ485" s="72"/>
      <c r="CR485" s="72"/>
      <c r="CS485" s="72"/>
    </row>
    <row r="486" spans="2:97" ht="13.2">
      <c r="E486" s="90" t="s">
        <v>561</v>
      </c>
      <c r="F486" s="91"/>
      <c r="G486" s="91"/>
      <c r="H486" s="91"/>
      <c r="I486" s="91"/>
      <c r="J486" s="91"/>
      <c r="K486" s="91"/>
      <c r="L486" s="91"/>
      <c r="M486" s="91"/>
      <c r="N486" s="91"/>
      <c r="O486" s="91"/>
      <c r="P486" s="91"/>
      <c r="Q486" s="91"/>
      <c r="R486" s="91"/>
      <c r="S486" s="91"/>
      <c r="T486" s="1902" t="s">
        <v>136</v>
      </c>
      <c r="U486" s="1903"/>
      <c r="V486" s="1903"/>
      <c r="W486" s="1903"/>
      <c r="X486" s="1903"/>
      <c r="Y486" s="1902" t="s">
        <v>136</v>
      </c>
      <c r="Z486" s="1903"/>
      <c r="AA486" s="1903"/>
      <c r="AB486" s="1903"/>
      <c r="AC486" s="1903"/>
      <c r="AD486" s="1903">
        <v>43998</v>
      </c>
      <c r="AE486" s="1903"/>
      <c r="AF486" s="1903"/>
      <c r="AG486" s="1903"/>
      <c r="AH486" s="1903"/>
      <c r="AM486" s="72"/>
      <c r="AN486" s="72"/>
      <c r="AO486" s="72"/>
      <c r="AP486" s="72"/>
      <c r="AQ486" s="72"/>
      <c r="AR486" s="72"/>
      <c r="AS486" s="72"/>
      <c r="AT486" s="72"/>
      <c r="AU486" s="72"/>
      <c r="AV486" s="72"/>
      <c r="AW486" s="72"/>
      <c r="AX486" s="72"/>
      <c r="AY486" s="72"/>
      <c r="AZ486" s="72"/>
      <c r="BA486" s="72"/>
      <c r="BB486" s="72"/>
      <c r="BC486" s="72"/>
      <c r="BD486" s="72"/>
      <c r="BE486" s="72"/>
      <c r="BF486" s="72"/>
      <c r="BG486" s="72"/>
      <c r="BH486" s="72"/>
      <c r="BI486" s="72"/>
      <c r="BJ486" s="72"/>
      <c r="BK486" s="72"/>
      <c r="BL486" s="72"/>
      <c r="BM486" s="72"/>
      <c r="BN486" s="72"/>
      <c r="BO486" s="72"/>
      <c r="BP486" s="72"/>
      <c r="BQ486" s="72"/>
      <c r="BR486" s="72"/>
      <c r="BS486" s="72"/>
      <c r="BT486" s="72"/>
      <c r="BU486" s="72"/>
      <c r="BV486" s="72"/>
      <c r="BW486" s="72"/>
      <c r="BX486" s="72"/>
      <c r="BY486" s="72"/>
      <c r="BZ486" s="72"/>
      <c r="CA486" s="72"/>
      <c r="CB486" s="72"/>
      <c r="CC486" s="72"/>
      <c r="CD486" s="72"/>
      <c r="CE486" s="72"/>
      <c r="CF486" s="72"/>
      <c r="CG486" s="72"/>
      <c r="CH486" s="72"/>
      <c r="CI486" s="72"/>
      <c r="CJ486" s="72"/>
      <c r="CK486" s="72"/>
      <c r="CL486" s="72"/>
      <c r="CM486" s="72"/>
      <c r="CN486" s="72"/>
      <c r="CO486" s="72"/>
      <c r="CP486" s="72"/>
      <c r="CQ486" s="72"/>
      <c r="CR486" s="72"/>
      <c r="CS486" s="72"/>
    </row>
    <row r="487" spans="2:97" ht="13.2">
      <c r="E487" s="90" t="s">
        <v>562</v>
      </c>
      <c r="F487" s="91"/>
      <c r="G487" s="91"/>
      <c r="H487" s="91"/>
      <c r="I487" s="91"/>
      <c r="J487" s="91"/>
      <c r="K487" s="91"/>
      <c r="L487" s="91"/>
      <c r="M487" s="91"/>
      <c r="N487" s="91"/>
      <c r="O487" s="91"/>
      <c r="P487" s="91"/>
      <c r="Q487" s="91"/>
      <c r="R487" s="91"/>
      <c r="S487" s="91"/>
      <c r="T487" s="1902" t="s">
        <v>136</v>
      </c>
      <c r="U487" s="1903"/>
      <c r="V487" s="1903"/>
      <c r="W487" s="1903"/>
      <c r="X487" s="1903"/>
      <c r="Y487" s="1902" t="s">
        <v>136</v>
      </c>
      <c r="Z487" s="1903"/>
      <c r="AA487" s="1903"/>
      <c r="AB487" s="1903"/>
      <c r="AC487" s="1903"/>
      <c r="AD487" s="1903">
        <v>43816</v>
      </c>
      <c r="AE487" s="1903"/>
      <c r="AF487" s="1903"/>
      <c r="AG487" s="1903"/>
      <c r="AH487" s="1903"/>
      <c r="AM487" s="72"/>
      <c r="AN487" s="72"/>
      <c r="AO487" s="72"/>
      <c r="AP487" s="72"/>
      <c r="AQ487" s="72"/>
      <c r="AR487" s="72"/>
      <c r="AS487" s="72"/>
      <c r="AT487" s="72"/>
      <c r="AU487" s="72"/>
      <c r="AV487" s="72"/>
      <c r="AW487" s="72"/>
      <c r="AX487" s="72"/>
      <c r="AY487" s="72"/>
      <c r="AZ487" s="72"/>
      <c r="BA487" s="72"/>
      <c r="BB487" s="72"/>
      <c r="BC487" s="72"/>
      <c r="BD487" s="72"/>
      <c r="BE487" s="72"/>
      <c r="BF487" s="72"/>
      <c r="BG487" s="72"/>
      <c r="BH487" s="72"/>
      <c r="BI487" s="72"/>
      <c r="BJ487" s="72"/>
      <c r="BK487" s="72"/>
      <c r="BL487" s="72"/>
      <c r="BM487" s="72"/>
      <c r="BN487" s="72"/>
      <c r="BO487" s="72"/>
      <c r="BP487" s="72"/>
      <c r="BQ487" s="72"/>
      <c r="BR487" s="72"/>
      <c r="BS487" s="72"/>
      <c r="BT487" s="72"/>
      <c r="BU487" s="72"/>
      <c r="BV487" s="72"/>
      <c r="BW487" s="72"/>
      <c r="BX487" s="72"/>
      <c r="BY487" s="72"/>
      <c r="BZ487" s="72"/>
      <c r="CA487" s="72"/>
      <c r="CB487" s="72"/>
      <c r="CC487" s="72"/>
      <c r="CD487" s="72"/>
      <c r="CE487" s="72"/>
      <c r="CF487" s="72"/>
      <c r="CG487" s="72"/>
      <c r="CH487" s="72"/>
      <c r="CI487" s="72"/>
      <c r="CJ487" s="72"/>
      <c r="CK487" s="72"/>
      <c r="CL487" s="72"/>
      <c r="CM487" s="72"/>
      <c r="CN487" s="72"/>
      <c r="CO487" s="72"/>
      <c r="CP487" s="72"/>
      <c r="CQ487" s="72"/>
      <c r="CR487" s="72"/>
      <c r="CS487" s="72"/>
    </row>
    <row r="488" spans="2:97" ht="13.2">
      <c r="E488" s="90" t="s">
        <v>941</v>
      </c>
      <c r="F488" s="91"/>
      <c r="G488" s="91"/>
      <c r="H488" s="91"/>
      <c r="I488" s="91"/>
      <c r="J488" s="91"/>
      <c r="K488" s="91"/>
      <c r="L488" s="91"/>
      <c r="M488" s="91"/>
      <c r="N488" s="91"/>
      <c r="O488" s="91"/>
      <c r="P488" s="91"/>
      <c r="Q488" s="91"/>
      <c r="R488" s="91"/>
      <c r="S488" s="91"/>
      <c r="T488" s="1902" t="s">
        <v>136</v>
      </c>
      <c r="U488" s="1903"/>
      <c r="V488" s="1903"/>
      <c r="W488" s="1903"/>
      <c r="X488" s="1903"/>
      <c r="Y488" s="1902" t="s">
        <v>136</v>
      </c>
      <c r="Z488" s="1903"/>
      <c r="AA488" s="1903"/>
      <c r="AB488" s="1903"/>
      <c r="AC488" s="1903"/>
      <c r="AD488" s="1902" t="s">
        <v>136</v>
      </c>
      <c r="AE488" s="1903"/>
      <c r="AF488" s="1903"/>
      <c r="AG488" s="1903"/>
      <c r="AH488" s="1903"/>
      <c r="AM488" s="72"/>
      <c r="AN488" s="72"/>
      <c r="AO488" s="72"/>
      <c r="AP488" s="72"/>
      <c r="AQ488" s="72"/>
      <c r="AR488" s="72"/>
      <c r="AS488" s="72"/>
      <c r="AT488" s="72"/>
      <c r="AU488" s="72"/>
      <c r="AV488" s="72"/>
      <c r="AW488" s="72"/>
      <c r="AX488" s="72"/>
      <c r="AY488" s="72"/>
      <c r="AZ488" s="72"/>
      <c r="BA488" s="72"/>
      <c r="BB488" s="72"/>
      <c r="BC488" s="72"/>
      <c r="BD488" s="72"/>
      <c r="BE488" s="72"/>
      <c r="BF488" s="72"/>
      <c r="BG488" s="72"/>
      <c r="BH488" s="72"/>
      <c r="BI488" s="72"/>
      <c r="BJ488" s="72"/>
      <c r="BK488" s="72"/>
      <c r="BL488" s="72"/>
      <c r="BM488" s="72"/>
      <c r="BN488" s="72"/>
      <c r="BO488" s="72"/>
      <c r="BP488" s="72"/>
      <c r="BQ488" s="72"/>
      <c r="BR488" s="72"/>
      <c r="BS488" s="72"/>
      <c r="BT488" s="72"/>
      <c r="BU488" s="72"/>
      <c r="BV488" s="72"/>
      <c r="BW488" s="72"/>
      <c r="BX488" s="72"/>
      <c r="BY488" s="72"/>
      <c r="BZ488" s="72"/>
      <c r="CA488" s="72"/>
      <c r="CB488" s="72"/>
      <c r="CC488" s="72"/>
      <c r="CD488" s="72"/>
      <c r="CE488" s="72"/>
      <c r="CF488" s="72"/>
      <c r="CG488" s="72"/>
      <c r="CH488" s="72"/>
      <c r="CI488" s="72"/>
      <c r="CJ488" s="72"/>
      <c r="CK488" s="72"/>
      <c r="CL488" s="72"/>
      <c r="CM488" s="72"/>
      <c r="CN488" s="72"/>
      <c r="CO488" s="72"/>
      <c r="CP488" s="72"/>
      <c r="CQ488" s="72"/>
      <c r="CR488" s="72"/>
      <c r="CS488" s="72"/>
    </row>
    <row r="489" spans="2:97" ht="12.75" customHeight="1">
      <c r="E489" s="93" t="s">
        <v>265</v>
      </c>
      <c r="F489" s="91"/>
      <c r="G489" s="91"/>
      <c r="H489" s="91"/>
      <c r="I489" s="91"/>
      <c r="J489" s="91"/>
      <c r="K489" s="91"/>
      <c r="L489" s="91"/>
      <c r="M489" s="91"/>
      <c r="N489" s="91"/>
      <c r="O489" s="91"/>
      <c r="P489" s="91"/>
      <c r="Q489" s="91"/>
      <c r="R489" s="91"/>
      <c r="S489" s="91"/>
      <c r="T489" s="1902" t="s">
        <v>136</v>
      </c>
      <c r="U489" s="1903"/>
      <c r="V489" s="1903"/>
      <c r="W489" s="1903"/>
      <c r="X489" s="1903"/>
      <c r="Y489" s="1902" t="s">
        <v>136</v>
      </c>
      <c r="Z489" s="1903"/>
      <c r="AA489" s="1903"/>
      <c r="AB489" s="1903"/>
      <c r="AC489" s="1903"/>
      <c r="AD489" s="1902" t="s">
        <v>136</v>
      </c>
      <c r="AE489" s="1903"/>
      <c r="AF489" s="1903"/>
      <c r="AG489" s="1903"/>
      <c r="AH489" s="1903"/>
      <c r="AM489" s="72"/>
      <c r="AN489" s="72"/>
      <c r="AO489" s="72"/>
      <c r="AP489" s="72"/>
      <c r="AQ489" s="72"/>
      <c r="AR489" s="72"/>
      <c r="AS489" s="72"/>
      <c r="AT489" s="72"/>
      <c r="AU489" s="72"/>
      <c r="AV489" s="72"/>
      <c r="AW489" s="72"/>
      <c r="AX489" s="72"/>
      <c r="AY489" s="72"/>
      <c r="AZ489" s="72"/>
      <c r="BA489" s="72"/>
      <c r="BB489" s="72"/>
      <c r="BC489" s="72"/>
      <c r="BD489" s="72"/>
      <c r="BE489" s="72"/>
      <c r="BF489" s="72"/>
      <c r="BG489" s="72"/>
      <c r="BH489" s="72"/>
      <c r="BI489" s="72"/>
      <c r="BJ489" s="72"/>
      <c r="BK489" s="72"/>
      <c r="BL489" s="72"/>
      <c r="BM489" s="72"/>
      <c r="BN489" s="72"/>
      <c r="BO489" s="72"/>
      <c r="BP489" s="72"/>
      <c r="BQ489" s="72"/>
      <c r="BR489" s="72"/>
      <c r="BS489" s="72"/>
      <c r="BT489" s="72"/>
      <c r="BU489" s="72"/>
      <c r="BV489" s="72"/>
      <c r="BW489" s="72"/>
      <c r="BX489" s="72"/>
      <c r="BY489" s="72"/>
      <c r="BZ489" s="72"/>
      <c r="CA489" s="72"/>
      <c r="CB489" s="72"/>
      <c r="CC489" s="72"/>
      <c r="CD489" s="72"/>
      <c r="CE489" s="72"/>
      <c r="CF489" s="72"/>
      <c r="CG489" s="72"/>
      <c r="CH489" s="72"/>
      <c r="CI489" s="72"/>
      <c r="CJ489" s="72"/>
      <c r="CK489" s="72"/>
      <c r="CL489" s="72"/>
      <c r="CM489" s="72"/>
      <c r="CN489" s="72"/>
      <c r="CO489" s="72"/>
      <c r="CP489" s="72"/>
      <c r="CQ489" s="72"/>
      <c r="CR489" s="72"/>
      <c r="CS489" s="72"/>
    </row>
    <row r="490" spans="2:97" ht="13.2">
      <c r="E490" s="117" t="s">
        <v>1423</v>
      </c>
      <c r="F490" s="94"/>
      <c r="G490" s="94"/>
      <c r="H490" s="94"/>
      <c r="I490" s="94"/>
      <c r="J490" s="94"/>
      <c r="K490" s="94"/>
      <c r="L490" s="94"/>
      <c r="M490" s="94"/>
      <c r="N490" s="94"/>
      <c r="O490" s="94"/>
      <c r="P490" s="94"/>
      <c r="Q490" s="94"/>
      <c r="R490" s="94"/>
      <c r="S490" s="94"/>
      <c r="T490" s="1902" t="s">
        <v>136</v>
      </c>
      <c r="U490" s="1903"/>
      <c r="V490" s="1903"/>
      <c r="W490" s="1903"/>
      <c r="X490" s="1903"/>
      <c r="Y490" s="1902" t="s">
        <v>136</v>
      </c>
      <c r="Z490" s="1903"/>
      <c r="AA490" s="1903"/>
      <c r="AB490" s="1903"/>
      <c r="AC490" s="1903"/>
      <c r="AD490" s="1902" t="s">
        <v>136</v>
      </c>
      <c r="AE490" s="1903"/>
      <c r="AF490" s="1903"/>
      <c r="AG490" s="1903"/>
      <c r="AH490" s="1903"/>
      <c r="AM490" s="72"/>
      <c r="AN490" s="72"/>
      <c r="AO490" s="72"/>
      <c r="AP490" s="72"/>
      <c r="AQ490" s="72"/>
      <c r="AR490" s="72"/>
      <c r="AS490" s="72"/>
      <c r="AT490" s="72"/>
      <c r="AU490" s="72"/>
      <c r="AV490" s="72"/>
      <c r="AW490" s="72"/>
      <c r="AX490" s="72"/>
      <c r="AY490" s="72"/>
      <c r="AZ490" s="72"/>
      <c r="BA490" s="72"/>
      <c r="BB490" s="72"/>
      <c r="BC490" s="72"/>
      <c r="BD490" s="72"/>
      <c r="BE490" s="72"/>
      <c r="BF490" s="72"/>
      <c r="BG490" s="72"/>
      <c r="BH490" s="72"/>
      <c r="BI490" s="72"/>
      <c r="BJ490" s="72"/>
      <c r="BK490" s="72"/>
      <c r="BL490" s="72"/>
      <c r="BM490" s="72"/>
      <c r="BN490" s="72"/>
      <c r="BO490" s="72"/>
      <c r="BP490" s="72"/>
      <c r="BQ490" s="72"/>
      <c r="BR490" s="72"/>
      <c r="BS490" s="72"/>
      <c r="BT490" s="72"/>
      <c r="BU490" s="72"/>
      <c r="BV490" s="72"/>
      <c r="BW490" s="72"/>
      <c r="BX490" s="72"/>
      <c r="BY490" s="72"/>
      <c r="BZ490" s="72"/>
      <c r="CA490" s="72"/>
      <c r="CB490" s="72"/>
      <c r="CC490" s="72"/>
      <c r="CD490" s="72"/>
      <c r="CE490" s="72"/>
      <c r="CF490" s="72"/>
      <c r="CG490" s="72"/>
      <c r="CH490" s="72"/>
      <c r="CI490" s="72"/>
      <c r="CJ490" s="72"/>
      <c r="CK490" s="72"/>
      <c r="CL490" s="72"/>
      <c r="CM490" s="72"/>
      <c r="CN490" s="72"/>
      <c r="CO490" s="72"/>
      <c r="CP490" s="72"/>
      <c r="CQ490" s="72"/>
      <c r="CR490" s="72"/>
      <c r="CS490" s="72"/>
    </row>
    <row r="491" spans="2:97" ht="13.2">
      <c r="AM491" s="72"/>
      <c r="AN491" s="72"/>
      <c r="AO491" s="72"/>
      <c r="AP491" s="72"/>
      <c r="AQ491" s="72"/>
      <c r="AR491" s="72"/>
      <c r="AS491" s="72"/>
      <c r="AT491" s="72"/>
      <c r="AU491" s="72"/>
      <c r="AV491" s="72"/>
      <c r="AW491" s="72"/>
      <c r="AX491" s="72"/>
      <c r="AY491" s="72"/>
      <c r="AZ491" s="72"/>
      <c r="BA491" s="72"/>
      <c r="BB491" s="72"/>
      <c r="BC491" s="72"/>
      <c r="BD491" s="72"/>
      <c r="BE491" s="72"/>
      <c r="BF491" s="72"/>
      <c r="BG491" s="72"/>
      <c r="BH491" s="72"/>
      <c r="BI491" s="72"/>
      <c r="BJ491" s="72"/>
      <c r="BK491" s="72"/>
      <c r="BL491" s="72"/>
      <c r="BM491" s="72"/>
      <c r="BN491" s="72"/>
      <c r="BO491" s="72"/>
      <c r="BP491" s="72"/>
      <c r="BQ491" s="72"/>
      <c r="BR491" s="72"/>
      <c r="BS491" s="72"/>
      <c r="BT491" s="72"/>
      <c r="BU491" s="72"/>
      <c r="BV491" s="72"/>
      <c r="BW491" s="72"/>
      <c r="BX491" s="72"/>
      <c r="BY491" s="72"/>
      <c r="BZ491" s="72"/>
      <c r="CA491" s="72"/>
      <c r="CB491" s="72"/>
      <c r="CC491" s="72"/>
      <c r="CD491" s="72"/>
      <c r="CE491" s="72"/>
      <c r="CF491" s="72"/>
      <c r="CG491" s="72"/>
      <c r="CH491" s="72"/>
      <c r="CI491" s="72"/>
      <c r="CJ491" s="72"/>
      <c r="CK491" s="72"/>
      <c r="CL491" s="72"/>
      <c r="CM491" s="72"/>
      <c r="CN491" s="72"/>
      <c r="CO491" s="72"/>
      <c r="CP491" s="72"/>
      <c r="CQ491" s="72"/>
      <c r="CR491" s="72"/>
      <c r="CS491" s="72"/>
    </row>
    <row r="492" spans="2:97" ht="13.2">
      <c r="B492" s="90"/>
      <c r="C492" s="91"/>
      <c r="D492" s="91"/>
      <c r="E492" s="91"/>
      <c r="F492" s="91"/>
      <c r="G492" s="91"/>
      <c r="H492" s="91"/>
      <c r="I492" s="91"/>
      <c r="J492" s="91"/>
      <c r="K492" s="91"/>
      <c r="L492" s="91"/>
      <c r="M492" s="91"/>
      <c r="N492" s="91"/>
      <c r="O492" s="91"/>
      <c r="P492" s="92"/>
      <c r="Q492" s="1932" t="s">
        <v>266</v>
      </c>
      <c r="R492" s="1933"/>
      <c r="S492" s="1933"/>
      <c r="T492" s="1933"/>
      <c r="U492" s="1933"/>
      <c r="V492" s="1933"/>
      <c r="W492" s="1933"/>
      <c r="X492" s="1933"/>
      <c r="Y492" s="1933"/>
      <c r="Z492" s="1933"/>
      <c r="AA492" s="1933"/>
      <c r="AB492" s="1933"/>
      <c r="AC492" s="1933"/>
      <c r="AD492" s="1933"/>
      <c r="AE492" s="1933"/>
      <c r="AF492" s="1933"/>
      <c r="AG492" s="1933"/>
      <c r="AH492" s="1933"/>
      <c r="AI492" s="1933"/>
      <c r="AJ492" s="1933"/>
      <c r="AK492" s="1934"/>
      <c r="AM492" s="72"/>
      <c r="AN492" s="72"/>
      <c r="AO492" s="72"/>
      <c r="AP492" s="72"/>
      <c r="AQ492" s="72"/>
      <c r="AR492" s="72"/>
      <c r="AS492" s="72"/>
      <c r="AT492" s="72"/>
      <c r="AU492" s="72"/>
      <c r="AV492" s="72"/>
      <c r="AW492" s="72"/>
      <c r="AX492" s="72"/>
      <c r="AY492" s="72"/>
      <c r="AZ492" s="72"/>
      <c r="BA492" s="72"/>
      <c r="BB492" s="72"/>
      <c r="BC492" s="72"/>
      <c r="BD492" s="72"/>
      <c r="BE492" s="72"/>
      <c r="BF492" s="72"/>
      <c r="BG492" s="72"/>
      <c r="BH492" s="72"/>
      <c r="BI492" s="72"/>
      <c r="BJ492" s="72"/>
      <c r="BK492" s="72"/>
      <c r="BL492" s="72"/>
      <c r="BM492" s="72"/>
      <c r="BN492" s="72"/>
      <c r="BO492" s="72"/>
      <c r="BP492" s="72"/>
      <c r="BQ492" s="72"/>
      <c r="BR492" s="72"/>
      <c r="BS492" s="72"/>
      <c r="BT492" s="72"/>
      <c r="BU492" s="72"/>
      <c r="BV492" s="72"/>
      <c r="BW492" s="72"/>
      <c r="BX492" s="72"/>
      <c r="BY492" s="72"/>
      <c r="BZ492" s="72"/>
      <c r="CA492" s="72"/>
      <c r="CB492" s="72"/>
      <c r="CC492" s="72"/>
      <c r="CD492" s="72"/>
      <c r="CE492" s="72"/>
      <c r="CF492" s="72"/>
      <c r="CG492" s="72"/>
      <c r="CH492" s="72"/>
      <c r="CI492" s="72"/>
      <c r="CJ492" s="72"/>
      <c r="CK492" s="72"/>
      <c r="CL492" s="72"/>
      <c r="CM492" s="72"/>
      <c r="CN492" s="72"/>
      <c r="CO492" s="72"/>
      <c r="CP492" s="72"/>
      <c r="CQ492" s="72"/>
      <c r="CR492" s="72"/>
      <c r="CS492" s="72"/>
    </row>
    <row r="493" spans="2:97" ht="13.2">
      <c r="B493" s="90" t="s">
        <v>267</v>
      </c>
      <c r="C493" s="91"/>
      <c r="D493" s="91"/>
      <c r="E493" s="91"/>
      <c r="F493" s="91"/>
      <c r="G493" s="91"/>
      <c r="H493" s="91"/>
      <c r="I493" s="91"/>
      <c r="J493" s="91"/>
      <c r="K493" s="91"/>
      <c r="L493" s="91"/>
      <c r="M493" s="91"/>
      <c r="N493" s="91"/>
      <c r="O493" s="91"/>
      <c r="P493" s="91"/>
      <c r="Q493" s="1904" t="s">
        <v>2409</v>
      </c>
      <c r="R493" s="1796"/>
      <c r="S493" s="1796"/>
      <c r="T493" s="1796"/>
      <c r="U493" s="1796"/>
      <c r="V493" s="1796"/>
      <c r="W493" s="1796"/>
      <c r="X493" s="1796"/>
      <c r="Y493" s="1796"/>
      <c r="Z493" s="1796"/>
      <c r="AA493" s="1796"/>
      <c r="AB493" s="1796"/>
      <c r="AC493" s="1796"/>
      <c r="AD493" s="1796"/>
      <c r="AE493" s="1796"/>
      <c r="AF493" s="1796"/>
      <c r="AG493" s="1796"/>
      <c r="AH493" s="1796"/>
      <c r="AI493" s="1796"/>
      <c r="AJ493" s="1796"/>
      <c r="AK493" s="1905"/>
      <c r="AM493" s="72"/>
      <c r="AN493" s="72"/>
      <c r="AO493" s="72"/>
      <c r="AP493" s="72"/>
      <c r="AQ493" s="72"/>
      <c r="AR493" s="72"/>
      <c r="AS493" s="72"/>
      <c r="AT493" s="72"/>
      <c r="AU493" s="72"/>
      <c r="AV493" s="72"/>
      <c r="AW493" s="72"/>
      <c r="AX493" s="72"/>
      <c r="AY493" s="72"/>
      <c r="AZ493" s="72"/>
      <c r="BA493" s="72"/>
      <c r="BB493" s="72"/>
      <c r="BC493" s="72"/>
      <c r="BD493" s="72"/>
      <c r="BE493" s="72"/>
      <c r="BF493" s="72"/>
      <c r="BG493" s="72"/>
      <c r="BH493" s="72"/>
      <c r="BI493" s="72"/>
      <c r="BJ493" s="72"/>
      <c r="BK493" s="72"/>
      <c r="BL493" s="72"/>
      <c r="BM493" s="72"/>
      <c r="BN493" s="72"/>
      <c r="BO493" s="72"/>
      <c r="BP493" s="72"/>
      <c r="BQ493" s="72"/>
      <c r="BR493" s="72"/>
      <c r="BS493" s="72"/>
      <c r="BT493" s="72"/>
      <c r="BU493" s="72"/>
      <c r="BV493" s="72"/>
      <c r="BW493" s="72"/>
      <c r="BX493" s="72"/>
      <c r="BY493" s="72"/>
      <c r="BZ493" s="72"/>
      <c r="CA493" s="72"/>
      <c r="CB493" s="72"/>
      <c r="CC493" s="72"/>
      <c r="CD493" s="72"/>
      <c r="CE493" s="72"/>
      <c r="CF493" s="72"/>
      <c r="CG493" s="72"/>
      <c r="CH493" s="72"/>
      <c r="CI493" s="72"/>
      <c r="CJ493" s="72"/>
      <c r="CK493" s="72"/>
      <c r="CL493" s="72"/>
      <c r="CM493" s="72"/>
      <c r="CN493" s="72"/>
      <c r="CO493" s="72"/>
      <c r="CP493" s="72"/>
      <c r="CQ493" s="72"/>
      <c r="CR493" s="72"/>
      <c r="CS493" s="72"/>
    </row>
    <row r="494" spans="2:97" ht="13.2">
      <c r="B494" s="90" t="s">
        <v>268</v>
      </c>
      <c r="C494" s="91"/>
      <c r="D494" s="91"/>
      <c r="E494" s="91"/>
      <c r="F494" s="91"/>
      <c r="G494" s="91"/>
      <c r="H494" s="91"/>
      <c r="I494" s="91"/>
      <c r="J494" s="91"/>
      <c r="K494" s="91"/>
      <c r="L494" s="91"/>
      <c r="M494" s="91"/>
      <c r="N494" s="91"/>
      <c r="O494" s="91"/>
      <c r="P494" s="91"/>
      <c r="Q494" s="1904" t="s">
        <v>2410</v>
      </c>
      <c r="R494" s="1796"/>
      <c r="S494" s="1796"/>
      <c r="T494" s="1796"/>
      <c r="U494" s="1796"/>
      <c r="V494" s="1796"/>
      <c r="W494" s="1796"/>
      <c r="X494" s="1796"/>
      <c r="Y494" s="1796"/>
      <c r="Z494" s="1796"/>
      <c r="AA494" s="1796"/>
      <c r="AB494" s="1796"/>
      <c r="AC494" s="1796"/>
      <c r="AD494" s="1796"/>
      <c r="AE494" s="1796"/>
      <c r="AF494" s="1796"/>
      <c r="AG494" s="1796"/>
      <c r="AH494" s="1796"/>
      <c r="AI494" s="1796"/>
      <c r="AJ494" s="1796"/>
      <c r="AK494" s="1905"/>
      <c r="AM494" s="72"/>
      <c r="AN494" s="72"/>
      <c r="AO494" s="72"/>
      <c r="AP494" s="72"/>
      <c r="AQ494" s="72"/>
      <c r="AR494" s="72"/>
      <c r="AS494" s="72"/>
      <c r="AT494" s="72"/>
      <c r="AU494" s="72"/>
      <c r="AV494" s="72"/>
      <c r="AW494" s="72"/>
      <c r="AX494" s="72"/>
      <c r="AY494" s="72"/>
      <c r="AZ494" s="72"/>
      <c r="BA494" s="72"/>
      <c r="BB494" s="72"/>
      <c r="BC494" s="72"/>
      <c r="BD494" s="72"/>
      <c r="BE494" s="72"/>
      <c r="BF494" s="72"/>
      <c r="BG494" s="72"/>
      <c r="BH494" s="72"/>
      <c r="BI494" s="72"/>
      <c r="BJ494" s="72"/>
      <c r="BK494" s="72"/>
      <c r="BL494" s="72"/>
      <c r="BM494" s="72"/>
      <c r="BN494" s="72"/>
      <c r="BO494" s="72"/>
      <c r="BP494" s="72"/>
      <c r="BQ494" s="72"/>
      <c r="BR494" s="72"/>
      <c r="BS494" s="72"/>
      <c r="BT494" s="72"/>
      <c r="BU494" s="72"/>
      <c r="BV494" s="72"/>
      <c r="BW494" s="72"/>
      <c r="BX494" s="72"/>
      <c r="BY494" s="72"/>
      <c r="BZ494" s="72"/>
      <c r="CA494" s="72"/>
      <c r="CB494" s="72"/>
      <c r="CC494" s="72"/>
      <c r="CD494" s="72"/>
      <c r="CE494" s="72"/>
      <c r="CF494" s="72"/>
      <c r="CG494" s="72"/>
      <c r="CH494" s="72"/>
      <c r="CI494" s="72"/>
      <c r="CJ494" s="72"/>
      <c r="CK494" s="72"/>
      <c r="CL494" s="72"/>
      <c r="CM494" s="72"/>
      <c r="CN494" s="72"/>
      <c r="CO494" s="72"/>
      <c r="CP494" s="72"/>
      <c r="CQ494" s="72"/>
      <c r="CR494" s="72"/>
      <c r="CS494" s="72"/>
    </row>
    <row r="495" spans="2:97" ht="13.2">
      <c r="B495" s="90" t="s">
        <v>269</v>
      </c>
      <c r="C495" s="91"/>
      <c r="D495" s="91"/>
      <c r="E495" s="91"/>
      <c r="F495" s="91"/>
      <c r="G495" s="91"/>
      <c r="H495" s="91"/>
      <c r="I495" s="91"/>
      <c r="J495" s="91"/>
      <c r="K495" s="91"/>
      <c r="L495" s="91"/>
      <c r="M495" s="91"/>
      <c r="N495" s="91"/>
      <c r="O495" s="91"/>
      <c r="P495" s="91"/>
      <c r="Q495" s="1904" t="s">
        <v>2410</v>
      </c>
      <c r="R495" s="1796"/>
      <c r="S495" s="1796"/>
      <c r="T495" s="1796"/>
      <c r="U495" s="1796"/>
      <c r="V495" s="1796"/>
      <c r="W495" s="1796"/>
      <c r="X495" s="1796"/>
      <c r="Y495" s="1796"/>
      <c r="Z495" s="1796"/>
      <c r="AA495" s="1796"/>
      <c r="AB495" s="1796"/>
      <c r="AC495" s="1796"/>
      <c r="AD495" s="1796"/>
      <c r="AE495" s="1796"/>
      <c r="AF495" s="1796"/>
      <c r="AG495" s="1796"/>
      <c r="AH495" s="1796"/>
      <c r="AI495" s="1796"/>
      <c r="AJ495" s="1796"/>
      <c r="AK495" s="1905"/>
      <c r="AM495" s="72"/>
      <c r="AN495" s="72"/>
      <c r="AO495" s="72"/>
      <c r="AP495" s="72"/>
      <c r="AQ495" s="72"/>
      <c r="AR495" s="72"/>
      <c r="AS495" s="72"/>
      <c r="AT495" s="72"/>
      <c r="AU495" s="72"/>
      <c r="AV495" s="72"/>
      <c r="AW495" s="72"/>
      <c r="AX495" s="72"/>
      <c r="AY495" s="72"/>
      <c r="AZ495" s="72"/>
      <c r="BA495" s="72"/>
      <c r="BB495" s="72"/>
      <c r="BC495" s="72"/>
      <c r="BD495" s="72"/>
      <c r="BE495" s="72"/>
      <c r="BF495" s="72"/>
      <c r="BG495" s="72"/>
      <c r="BH495" s="72"/>
      <c r="BI495" s="72"/>
      <c r="BJ495" s="72"/>
      <c r="BK495" s="72"/>
      <c r="BL495" s="72"/>
      <c r="BM495" s="72"/>
      <c r="BN495" s="72"/>
      <c r="BO495" s="72"/>
      <c r="BP495" s="72"/>
      <c r="BQ495" s="72"/>
      <c r="BR495" s="72"/>
      <c r="BS495" s="72"/>
      <c r="BT495" s="72"/>
      <c r="BU495" s="72"/>
      <c r="BV495" s="72"/>
      <c r="BW495" s="72"/>
      <c r="BX495" s="72"/>
      <c r="BY495" s="72"/>
      <c r="BZ495" s="72"/>
      <c r="CA495" s="72"/>
      <c r="CB495" s="72"/>
      <c r="CC495" s="72"/>
      <c r="CD495" s="72"/>
      <c r="CE495" s="72"/>
      <c r="CF495" s="72"/>
      <c r="CG495" s="72"/>
      <c r="CH495" s="72"/>
      <c r="CI495" s="72"/>
      <c r="CJ495" s="72"/>
      <c r="CK495" s="72"/>
      <c r="CL495" s="72"/>
      <c r="CM495" s="72"/>
      <c r="CN495" s="72"/>
      <c r="CO495" s="72"/>
      <c r="CP495" s="72"/>
      <c r="CQ495" s="72"/>
      <c r="CR495" s="72"/>
      <c r="CS495" s="72"/>
    </row>
    <row r="496" spans="2:97" ht="12.75" customHeight="1">
      <c r="B496" s="1949" t="s">
        <v>270</v>
      </c>
      <c r="C496" s="1950"/>
      <c r="D496" s="1950"/>
      <c r="E496" s="1950"/>
      <c r="F496" s="1950"/>
      <c r="G496" s="1950"/>
      <c r="H496" s="1950"/>
      <c r="I496" s="1950"/>
      <c r="J496" s="1950"/>
      <c r="K496" s="1950"/>
      <c r="L496" s="1950"/>
      <c r="M496" s="1950"/>
      <c r="N496" s="1950"/>
      <c r="O496" s="1950"/>
      <c r="P496" s="1951"/>
      <c r="Q496" s="1908" t="s">
        <v>531</v>
      </c>
      <c r="R496" s="1909"/>
      <c r="S496" s="1912" t="s">
        <v>58</v>
      </c>
      <c r="T496" s="1913"/>
      <c r="U496" s="1913"/>
      <c r="V496" s="1913"/>
      <c r="W496" s="1913"/>
      <c r="X496" s="1913"/>
      <c r="Y496" s="1913"/>
      <c r="Z496" s="1913"/>
      <c r="AA496" s="1913"/>
      <c r="AB496" s="1913"/>
      <c r="AC496" s="1913"/>
      <c r="AD496" s="1913"/>
      <c r="AE496" s="1913"/>
      <c r="AF496" s="1913"/>
      <c r="AG496" s="1913"/>
      <c r="AH496" s="1913"/>
      <c r="AI496" s="1913"/>
      <c r="AJ496" s="1913"/>
      <c r="AK496" s="1914"/>
      <c r="AM496" s="72"/>
      <c r="AN496" s="72"/>
      <c r="AO496" s="72"/>
      <c r="AP496" s="72"/>
      <c r="AQ496" s="72"/>
      <c r="AR496" s="72"/>
      <c r="AS496" s="72"/>
      <c r="AT496" s="72"/>
      <c r="AU496" s="72"/>
      <c r="AV496" s="72"/>
      <c r="AW496" s="72"/>
      <c r="AX496" s="72"/>
      <c r="AY496" s="72"/>
      <c r="AZ496" s="72"/>
      <c r="BA496" s="72"/>
      <c r="BB496" s="72"/>
      <c r="BC496" s="72"/>
      <c r="BD496" s="72"/>
      <c r="BE496" s="72"/>
      <c r="BF496" s="72"/>
      <c r="BG496" s="72"/>
      <c r="BH496" s="72"/>
      <c r="BI496" s="72"/>
      <c r="BJ496" s="72"/>
      <c r="BK496" s="72"/>
      <c r="BL496" s="72"/>
      <c r="BM496" s="72"/>
      <c r="BN496" s="72"/>
      <c r="BO496" s="72"/>
      <c r="BP496" s="72"/>
      <c r="BQ496" s="72"/>
      <c r="BR496" s="72"/>
      <c r="BS496" s="72"/>
      <c r="BT496" s="72"/>
      <c r="BU496" s="72"/>
      <c r="BV496" s="72"/>
      <c r="BW496" s="72"/>
      <c r="BX496" s="72"/>
      <c r="BY496" s="72"/>
      <c r="BZ496" s="72"/>
      <c r="CA496" s="72"/>
      <c r="CB496" s="72"/>
      <c r="CC496" s="72"/>
      <c r="CD496" s="72"/>
      <c r="CE496" s="72"/>
      <c r="CF496" s="72"/>
      <c r="CG496" s="72"/>
      <c r="CH496" s="72"/>
      <c r="CI496" s="72"/>
      <c r="CJ496" s="72"/>
      <c r="CK496" s="72"/>
      <c r="CL496" s="72"/>
      <c r="CM496" s="72"/>
      <c r="CN496" s="72"/>
      <c r="CO496" s="72"/>
      <c r="CP496" s="72"/>
      <c r="CQ496" s="72"/>
      <c r="CR496" s="72"/>
      <c r="CS496" s="72"/>
    </row>
    <row r="497" spans="1:97" ht="13.2">
      <c r="B497" s="1952"/>
      <c r="C497" s="1953"/>
      <c r="D497" s="1953"/>
      <c r="E497" s="1953"/>
      <c r="F497" s="1953"/>
      <c r="G497" s="1953"/>
      <c r="H497" s="1953"/>
      <c r="I497" s="1953"/>
      <c r="J497" s="1953"/>
      <c r="K497" s="1953"/>
      <c r="L497" s="1953"/>
      <c r="M497" s="1953"/>
      <c r="N497" s="1953"/>
      <c r="O497" s="1953"/>
      <c r="P497" s="1954"/>
      <c r="Q497" s="1910"/>
      <c r="R497" s="1911"/>
      <c r="S497" s="1915"/>
      <c r="T497" s="1916"/>
      <c r="U497" s="1916"/>
      <c r="V497" s="1916"/>
      <c r="W497" s="1916"/>
      <c r="X497" s="1916"/>
      <c r="Y497" s="1916"/>
      <c r="Z497" s="1916"/>
      <c r="AA497" s="1916"/>
      <c r="AB497" s="1916"/>
      <c r="AC497" s="1916"/>
      <c r="AD497" s="1916"/>
      <c r="AE497" s="1916"/>
      <c r="AF497" s="1916"/>
      <c r="AG497" s="1916"/>
      <c r="AH497" s="1916"/>
      <c r="AI497" s="1916"/>
      <c r="AJ497" s="1916"/>
      <c r="AK497" s="1917"/>
      <c r="AM497" s="72"/>
      <c r="AN497" s="72"/>
      <c r="AO497" s="72"/>
      <c r="AP497" s="72"/>
      <c r="AQ497" s="72"/>
      <c r="AR497" s="72"/>
      <c r="AS497" s="72"/>
      <c r="AT497" s="72"/>
      <c r="AU497" s="72"/>
      <c r="AV497" s="72"/>
      <c r="AW497" s="72"/>
      <c r="AX497" s="72"/>
      <c r="AY497" s="72"/>
      <c r="AZ497" s="72"/>
      <c r="BA497" s="72"/>
      <c r="BB497" s="72"/>
      <c r="BC497" s="72"/>
      <c r="BD497" s="72"/>
      <c r="BE497" s="72"/>
      <c r="BF497" s="72"/>
      <c r="BG497" s="72"/>
      <c r="BH497" s="72"/>
      <c r="BI497" s="72"/>
      <c r="BJ497" s="72"/>
      <c r="BK497" s="72"/>
      <c r="BL497" s="72"/>
      <c r="BM497" s="72"/>
      <c r="BN497" s="72"/>
      <c r="BO497" s="72"/>
      <c r="BP497" s="72"/>
      <c r="BQ497" s="72"/>
      <c r="BR497" s="72"/>
      <c r="BS497" s="72"/>
      <c r="BT497" s="72"/>
      <c r="BU497" s="72"/>
      <c r="BV497" s="72"/>
      <c r="BW497" s="72"/>
      <c r="BX497" s="72"/>
      <c r="BY497" s="72"/>
      <c r="BZ497" s="72"/>
      <c r="CA497" s="72"/>
      <c r="CB497" s="72"/>
      <c r="CC497" s="72"/>
      <c r="CD497" s="72"/>
      <c r="CE497" s="72"/>
      <c r="CF497" s="72"/>
      <c r="CG497" s="72"/>
      <c r="CH497" s="72"/>
      <c r="CI497" s="72"/>
      <c r="CJ497" s="72"/>
      <c r="CK497" s="72"/>
      <c r="CL497" s="72"/>
      <c r="CM497" s="72"/>
      <c r="CN497" s="72"/>
      <c r="CO497" s="72"/>
      <c r="CP497" s="72"/>
      <c r="CQ497" s="72"/>
      <c r="CR497" s="72"/>
      <c r="CS497" s="72"/>
    </row>
    <row r="498" spans="1:97" ht="12.6" customHeight="1">
      <c r="B498" s="1433" t="s">
        <v>2280</v>
      </c>
      <c r="C498" s="1401"/>
      <c r="D498" s="1401"/>
      <c r="E498" s="1401"/>
      <c r="F498" s="1401"/>
      <c r="G498" s="1401"/>
      <c r="H498" s="1401"/>
      <c r="I498" s="1401"/>
      <c r="J498" s="1401"/>
      <c r="K498" s="1401"/>
      <c r="L498" s="1401"/>
      <c r="M498" s="1401"/>
      <c r="N498" s="1401"/>
      <c r="O498" s="1401"/>
      <c r="P498" s="1401"/>
      <c r="Q498" s="1918" t="s">
        <v>531</v>
      </c>
      <c r="R498" s="1919"/>
      <c r="S498" s="1919"/>
      <c r="T498" s="1919"/>
      <c r="U498" s="1919"/>
      <c r="V498" s="1919"/>
      <c r="W498" s="1919"/>
      <c r="X498" s="1919"/>
      <c r="Y498" s="1919"/>
      <c r="Z498" s="1919"/>
      <c r="AA498" s="1919"/>
      <c r="AB498" s="1919"/>
      <c r="AC498" s="1919"/>
      <c r="AD498" s="1919"/>
      <c r="AE498" s="1919"/>
      <c r="AF498" s="1919"/>
      <c r="AG498" s="1919"/>
      <c r="AH498" s="1919"/>
      <c r="AI498" s="1919"/>
      <c r="AJ498" s="1919"/>
      <c r="AK498" s="1920"/>
      <c r="AM498" s="72"/>
      <c r="AN498" s="72"/>
      <c r="AO498" s="72"/>
      <c r="AP498" s="72"/>
      <c r="AQ498" s="72"/>
      <c r="AR498" s="72"/>
      <c r="AS498" s="72"/>
      <c r="AT498" s="72"/>
      <c r="AU498" s="72"/>
      <c r="AV498" s="72"/>
      <c r="AW498" s="72"/>
      <c r="AX498" s="72"/>
      <c r="AY498" s="72"/>
      <c r="AZ498" s="72"/>
      <c r="BA498" s="72"/>
      <c r="BB498" s="72"/>
      <c r="BC498" s="72"/>
      <c r="BD498" s="72"/>
      <c r="BE498" s="72"/>
      <c r="BF498" s="72"/>
      <c r="BG498" s="72"/>
      <c r="BH498" s="72"/>
      <c r="BI498" s="72"/>
      <c r="BJ498" s="72"/>
      <c r="BK498" s="72"/>
      <c r="BL498" s="72"/>
      <c r="BM498" s="72"/>
      <c r="BN498" s="72"/>
      <c r="BO498" s="72"/>
      <c r="BP498" s="72"/>
      <c r="BQ498" s="72"/>
      <c r="BR498" s="72"/>
      <c r="BS498" s="72"/>
      <c r="BT498" s="72"/>
      <c r="BU498" s="72"/>
      <c r="BV498" s="72"/>
      <c r="BW498" s="72"/>
      <c r="BX498" s="72"/>
      <c r="BY498" s="72"/>
      <c r="BZ498" s="72"/>
      <c r="CA498" s="72"/>
      <c r="CB498" s="72"/>
      <c r="CC498" s="72"/>
      <c r="CD498" s="72"/>
      <c r="CE498" s="72"/>
      <c r="CF498" s="72"/>
      <c r="CG498" s="72"/>
      <c r="CH498" s="72"/>
      <c r="CI498" s="72"/>
      <c r="CJ498" s="72"/>
      <c r="CK498" s="72"/>
      <c r="CL498" s="72"/>
      <c r="CM498" s="72"/>
      <c r="CN498" s="72"/>
      <c r="CO498" s="72"/>
      <c r="CP498" s="72"/>
      <c r="CQ498" s="72"/>
      <c r="CR498" s="72"/>
      <c r="CS498" s="72"/>
    </row>
    <row r="499" spans="1:97" ht="13.2">
      <c r="B499" s="90" t="s">
        <v>271</v>
      </c>
      <c r="C499" s="91"/>
      <c r="D499" s="91"/>
      <c r="E499" s="91"/>
      <c r="F499" s="91"/>
      <c r="G499" s="91"/>
      <c r="H499" s="91"/>
      <c r="I499" s="91"/>
      <c r="J499" s="91"/>
      <c r="K499" s="91"/>
      <c r="L499" s="91"/>
      <c r="M499" s="91"/>
      <c r="N499" s="91"/>
      <c r="O499" s="91"/>
      <c r="P499" s="91"/>
      <c r="Q499" s="1904" t="s">
        <v>2411</v>
      </c>
      <c r="R499" s="1796"/>
      <c r="S499" s="1796"/>
      <c r="T499" s="1796"/>
      <c r="U499" s="1796"/>
      <c r="V499" s="1796"/>
      <c r="W499" s="1796"/>
      <c r="X499" s="1796"/>
      <c r="Y499" s="1796"/>
      <c r="Z499" s="1796"/>
      <c r="AA499" s="1796"/>
      <c r="AB499" s="1796"/>
      <c r="AC499" s="1796"/>
      <c r="AD499" s="1796"/>
      <c r="AE499" s="1796"/>
      <c r="AF499" s="1796"/>
      <c r="AG499" s="1796"/>
      <c r="AH499" s="1796"/>
      <c r="AI499" s="1796"/>
      <c r="AJ499" s="1796"/>
      <c r="AK499" s="1905"/>
      <c r="AM499" s="72"/>
      <c r="AN499" s="72"/>
      <c r="AO499" s="72"/>
      <c r="AP499" s="72"/>
      <c r="AQ499" s="72"/>
      <c r="AR499" s="72"/>
      <c r="AS499" s="72"/>
      <c r="AT499" s="72"/>
      <c r="AU499" s="72"/>
      <c r="AV499" s="72"/>
      <c r="AW499" s="72"/>
      <c r="AX499" s="72"/>
      <c r="AY499" s="72"/>
      <c r="AZ499" s="72"/>
      <c r="BA499" s="72"/>
      <c r="BB499" s="72"/>
      <c r="BC499" s="72"/>
      <c r="BD499" s="72"/>
      <c r="BE499" s="72"/>
      <c r="BF499" s="72"/>
      <c r="BG499" s="72"/>
      <c r="BH499" s="72"/>
      <c r="BI499" s="72"/>
      <c r="BJ499" s="72"/>
      <c r="BK499" s="72"/>
      <c r="BL499" s="72"/>
      <c r="BM499" s="72"/>
      <c r="BN499" s="72"/>
      <c r="BO499" s="72"/>
      <c r="BP499" s="72"/>
      <c r="BQ499" s="72"/>
      <c r="BR499" s="72"/>
      <c r="BS499" s="72"/>
      <c r="BT499" s="72"/>
      <c r="BU499" s="72"/>
      <c r="BV499" s="72"/>
      <c r="BW499" s="72"/>
      <c r="BX499" s="72"/>
      <c r="BY499" s="72"/>
      <c r="BZ499" s="72"/>
      <c r="CA499" s="72"/>
      <c r="CB499" s="72"/>
      <c r="CC499" s="72"/>
      <c r="CD499" s="72"/>
      <c r="CE499" s="72"/>
      <c r="CF499" s="72"/>
      <c r="CG499" s="72"/>
      <c r="CH499" s="72"/>
      <c r="CI499" s="72"/>
      <c r="CJ499" s="72"/>
      <c r="CK499" s="72"/>
      <c r="CL499" s="72"/>
      <c r="CM499" s="72"/>
      <c r="CN499" s="72"/>
      <c r="CO499" s="72"/>
      <c r="CP499" s="72"/>
      <c r="CQ499" s="72"/>
      <c r="CR499" s="72"/>
      <c r="CS499" s="72"/>
    </row>
    <row r="500" spans="1:97" ht="13.2">
      <c r="B500" s="90" t="s">
        <v>272</v>
      </c>
      <c r="C500" s="91"/>
      <c r="D500" s="91"/>
      <c r="E500" s="91"/>
      <c r="F500" s="91"/>
      <c r="G500" s="91"/>
      <c r="H500" s="91"/>
      <c r="I500" s="91"/>
      <c r="J500" s="91"/>
      <c r="K500" s="91"/>
      <c r="L500" s="91"/>
      <c r="M500" s="91"/>
      <c r="N500" s="91"/>
      <c r="O500" s="91"/>
      <c r="P500" s="91"/>
      <c r="Q500" s="1904" t="s">
        <v>2412</v>
      </c>
      <c r="R500" s="1796"/>
      <c r="S500" s="1796"/>
      <c r="T500" s="1796"/>
      <c r="U500" s="1796"/>
      <c r="V500" s="1796"/>
      <c r="W500" s="1796"/>
      <c r="X500" s="1796"/>
      <c r="Y500" s="1796"/>
      <c r="Z500" s="1796"/>
      <c r="AA500" s="1796"/>
      <c r="AB500" s="1796"/>
      <c r="AC500" s="1796"/>
      <c r="AD500" s="1796"/>
      <c r="AE500" s="1796"/>
      <c r="AF500" s="1796"/>
      <c r="AG500" s="1796"/>
      <c r="AH500" s="1796"/>
      <c r="AI500" s="1796"/>
      <c r="AJ500" s="1796"/>
      <c r="AK500" s="1905"/>
      <c r="AM500" s="72"/>
      <c r="AN500" s="72"/>
      <c r="AO500" s="72"/>
      <c r="AP500" s="72"/>
      <c r="AQ500" s="72"/>
      <c r="AR500" s="72"/>
      <c r="AS500" s="72"/>
      <c r="AT500" s="72"/>
      <c r="AU500" s="72"/>
      <c r="AV500" s="72"/>
      <c r="AW500" s="72"/>
      <c r="AX500" s="72"/>
      <c r="AY500" s="72"/>
      <c r="AZ500" s="72"/>
      <c r="BA500" s="72"/>
      <c r="BB500" s="72"/>
      <c r="BC500" s="72"/>
      <c r="BD500" s="72"/>
      <c r="BE500" s="72"/>
      <c r="BF500" s="72"/>
      <c r="BG500" s="72"/>
      <c r="BH500" s="72"/>
      <c r="BI500" s="72"/>
      <c r="BJ500" s="72"/>
      <c r="BK500" s="72"/>
      <c r="BL500" s="72"/>
      <c r="BM500" s="72"/>
      <c r="BN500" s="72"/>
      <c r="BO500" s="72"/>
      <c r="BP500" s="72"/>
      <c r="BQ500" s="72"/>
      <c r="BR500" s="72"/>
      <c r="BS500" s="72"/>
      <c r="BT500" s="72"/>
      <c r="BU500" s="72"/>
      <c r="BV500" s="72"/>
      <c r="BW500" s="72"/>
      <c r="BX500" s="72"/>
      <c r="BY500" s="72"/>
      <c r="BZ500" s="72"/>
      <c r="CA500" s="72"/>
      <c r="CB500" s="72"/>
      <c r="CC500" s="72"/>
      <c r="CD500" s="72"/>
      <c r="CE500" s="72"/>
      <c r="CF500" s="72"/>
      <c r="CG500" s="72"/>
      <c r="CH500" s="72"/>
      <c r="CI500" s="72"/>
      <c r="CJ500" s="72"/>
      <c r="CK500" s="72"/>
      <c r="CL500" s="72"/>
      <c r="CM500" s="72"/>
      <c r="CN500" s="72"/>
      <c r="CO500" s="72"/>
      <c r="CP500" s="72"/>
      <c r="CQ500" s="72"/>
      <c r="CR500" s="72"/>
      <c r="CS500" s="72"/>
    </row>
    <row r="501" spans="1:97" s="50" customFormat="1" ht="13.2">
      <c r="B501" s="334" t="s">
        <v>2281</v>
      </c>
      <c r="C501" s="91"/>
      <c r="D501" s="91"/>
      <c r="E501" s="91"/>
      <c r="F501" s="91"/>
      <c r="G501" s="91"/>
      <c r="H501" s="91"/>
      <c r="I501" s="91"/>
      <c r="J501" s="91"/>
      <c r="K501" s="91"/>
      <c r="L501" s="91"/>
      <c r="M501" s="91"/>
      <c r="N501" s="91"/>
      <c r="O501" s="91"/>
      <c r="P501" s="91"/>
      <c r="Q501" s="1921">
        <v>42</v>
      </c>
      <c r="R501" s="1796"/>
      <c r="S501" s="1796"/>
      <c r="T501" s="1796"/>
      <c r="U501" s="1796"/>
      <c r="V501" s="1796"/>
      <c r="W501" s="1796"/>
      <c r="X501" s="1796"/>
      <c r="Y501" s="1796"/>
      <c r="Z501" s="1796"/>
      <c r="AA501" s="1796"/>
      <c r="AB501" s="1796"/>
      <c r="AC501" s="1796"/>
      <c r="AD501" s="1796"/>
      <c r="AE501" s="1796"/>
      <c r="AF501" s="1796"/>
      <c r="AG501" s="1796"/>
      <c r="AH501" s="1796"/>
      <c r="AI501" s="1796"/>
      <c r="AJ501" s="1796"/>
      <c r="AK501" s="1905"/>
      <c r="AM501" s="391"/>
      <c r="AN501" s="391"/>
      <c r="AO501" s="391"/>
      <c r="AP501" s="391"/>
      <c r="AQ501" s="391"/>
      <c r="AR501" s="391"/>
      <c r="AS501" s="391"/>
      <c r="AT501" s="391"/>
      <c r="AU501" s="391"/>
      <c r="AV501" s="391"/>
      <c r="AW501" s="391"/>
      <c r="AX501" s="391"/>
      <c r="AY501" s="391"/>
      <c r="AZ501" s="391"/>
      <c r="BA501" s="391"/>
      <c r="BB501" s="391"/>
      <c r="BC501" s="391"/>
      <c r="BD501" s="391"/>
      <c r="BE501" s="391"/>
      <c r="BF501" s="391"/>
      <c r="BG501" s="391"/>
      <c r="BH501" s="391"/>
      <c r="BI501" s="391"/>
      <c r="BJ501" s="391"/>
      <c r="BK501" s="391"/>
      <c r="BL501" s="391"/>
      <c r="BM501" s="391"/>
      <c r="BN501" s="391"/>
      <c r="BO501" s="391"/>
      <c r="BP501" s="391"/>
      <c r="BQ501" s="391"/>
      <c r="BR501" s="391"/>
      <c r="BS501" s="391"/>
      <c r="BT501" s="391"/>
      <c r="BU501" s="391"/>
      <c r="BV501" s="391"/>
      <c r="BW501" s="391"/>
      <c r="BX501" s="391"/>
      <c r="BY501" s="391"/>
      <c r="BZ501" s="391"/>
      <c r="CA501" s="391"/>
      <c r="CB501" s="391"/>
      <c r="CC501" s="391"/>
      <c r="CD501" s="391"/>
      <c r="CE501" s="391"/>
      <c r="CF501" s="391"/>
      <c r="CG501" s="391"/>
      <c r="CH501" s="391"/>
      <c r="CI501" s="391"/>
      <c r="CJ501" s="391"/>
      <c r="CK501" s="391"/>
      <c r="CL501" s="391"/>
      <c r="CM501" s="391"/>
      <c r="CN501" s="391"/>
      <c r="CO501" s="391"/>
      <c r="CP501" s="391"/>
      <c r="CQ501" s="391"/>
      <c r="CR501" s="391"/>
      <c r="CS501" s="391"/>
    </row>
    <row r="502" spans="1:97" s="50" customFormat="1" ht="13.2">
      <c r="B502" s="334" t="s">
        <v>2282</v>
      </c>
      <c r="C502" s="91"/>
      <c r="D502" s="91"/>
      <c r="E502" s="91"/>
      <c r="F502" s="91"/>
      <c r="G502" s="91"/>
      <c r="H502" s="91"/>
      <c r="I502" s="91"/>
      <c r="J502" s="91"/>
      <c r="K502" s="91"/>
      <c r="L502" s="91"/>
      <c r="M502" s="1811">
        <v>0</v>
      </c>
      <c r="N502" s="1812"/>
      <c r="O502" s="1812"/>
      <c r="P502" s="1813"/>
      <c r="Q502" s="1434" t="s">
        <v>2283</v>
      </c>
      <c r="R502" s="1435"/>
      <c r="S502" s="1435"/>
      <c r="T502" s="1435"/>
      <c r="U502" s="1435"/>
      <c r="V502" s="1435"/>
      <c r="W502" s="1435"/>
      <c r="X502" s="1435"/>
      <c r="Y502" s="1435"/>
      <c r="Z502" s="1435"/>
      <c r="AA502" s="1435"/>
      <c r="AB502" s="1435"/>
      <c r="AC502" s="1435"/>
      <c r="AD502" s="1435"/>
      <c r="AE502" s="1435"/>
      <c r="AF502" s="1435"/>
      <c r="AG502" s="1435"/>
      <c r="AH502" s="1811">
        <v>42</v>
      </c>
      <c r="AI502" s="1812"/>
      <c r="AJ502" s="1812"/>
      <c r="AK502" s="1813"/>
      <c r="AM502" s="391"/>
      <c r="AN502" s="391"/>
      <c r="AO502" s="391"/>
      <c r="AP502" s="391"/>
      <c r="AQ502" s="391"/>
      <c r="AR502" s="391"/>
      <c r="AS502" s="391"/>
      <c r="AT502" s="391"/>
      <c r="AU502" s="391"/>
      <c r="AV502" s="391"/>
      <c r="AW502" s="391"/>
      <c r="AX502" s="391"/>
      <c r="AY502" s="391"/>
      <c r="AZ502" s="391"/>
      <c r="BA502" s="391"/>
      <c r="BB502" s="391"/>
      <c r="BC502" s="391"/>
      <c r="BD502" s="391"/>
      <c r="BE502" s="391"/>
      <c r="BF502" s="391"/>
      <c r="BG502" s="391"/>
      <c r="BH502" s="391"/>
      <c r="BI502" s="391"/>
      <c r="BJ502" s="391"/>
      <c r="BK502" s="391"/>
      <c r="BL502" s="391"/>
      <c r="BM502" s="391"/>
      <c r="BN502" s="391"/>
      <c r="BO502" s="391"/>
      <c r="BP502" s="391"/>
      <c r="BQ502" s="391"/>
      <c r="BR502" s="391"/>
      <c r="BS502" s="391"/>
      <c r="BT502" s="391"/>
      <c r="BU502" s="391"/>
      <c r="BV502" s="391"/>
      <c r="BW502" s="391"/>
      <c r="BX502" s="391"/>
      <c r="BY502" s="391"/>
      <c r="BZ502" s="391"/>
      <c r="CA502" s="391"/>
      <c r="CB502" s="391"/>
      <c r="CC502" s="391"/>
      <c r="CD502" s="391"/>
      <c r="CE502" s="391"/>
      <c r="CF502" s="391"/>
      <c r="CG502" s="391"/>
      <c r="CH502" s="391"/>
      <c r="CI502" s="391"/>
      <c r="CJ502" s="391"/>
      <c r="CK502" s="391"/>
      <c r="CL502" s="391"/>
      <c r="CM502" s="391"/>
      <c r="CN502" s="391"/>
      <c r="CO502" s="391"/>
      <c r="CP502" s="391"/>
      <c r="CQ502" s="391"/>
      <c r="CR502" s="391"/>
      <c r="CS502" s="391"/>
    </row>
    <row r="503" spans="1:97" s="50" customFormat="1" ht="13.2">
      <c r="B503" s="3"/>
      <c r="C503" s="3"/>
      <c r="D503" s="3"/>
      <c r="E503" s="3"/>
      <c r="F503" s="3"/>
      <c r="G503" s="3"/>
      <c r="H503" s="3"/>
      <c r="I503" s="3"/>
      <c r="J503" s="3"/>
      <c r="K503" s="3"/>
      <c r="L503" s="3"/>
      <c r="M503" s="3"/>
      <c r="N503" s="3"/>
      <c r="O503" s="3"/>
      <c r="P503" s="3"/>
      <c r="Q503" s="18"/>
      <c r="R503" s="18"/>
      <c r="S503" s="18"/>
      <c r="T503" s="18"/>
      <c r="U503" s="18"/>
      <c r="V503" s="18"/>
      <c r="W503" s="18"/>
      <c r="X503" s="18"/>
      <c r="Y503" s="18"/>
      <c r="Z503" s="18"/>
      <c r="AA503" s="18"/>
      <c r="AB503" s="18"/>
      <c r="AC503" s="18"/>
      <c r="AD503" s="18"/>
      <c r="AE503" s="18"/>
      <c r="AF503" s="18"/>
      <c r="AG503" s="18"/>
      <c r="AH503" s="18"/>
      <c r="AI503" s="18"/>
      <c r="AJ503" s="18"/>
      <c r="AK503" s="18"/>
      <c r="AM503" s="391"/>
      <c r="AN503" s="391"/>
      <c r="AO503" s="391"/>
      <c r="AP503" s="391"/>
      <c r="AQ503" s="391"/>
      <c r="AR503" s="391"/>
      <c r="AS503" s="391"/>
      <c r="AT503" s="391"/>
      <c r="AU503" s="391"/>
      <c r="AV503" s="391"/>
      <c r="AW503" s="391"/>
      <c r="AX503" s="391"/>
      <c r="AY503" s="391"/>
      <c r="AZ503" s="391"/>
      <c r="BA503" s="391"/>
      <c r="BB503" s="391"/>
      <c r="BC503" s="391"/>
      <c r="BD503" s="391"/>
      <c r="BE503" s="391"/>
      <c r="BF503" s="391"/>
      <c r="BG503" s="391"/>
      <c r="BH503" s="391"/>
      <c r="BI503" s="391"/>
      <c r="BJ503" s="391"/>
      <c r="BK503" s="391"/>
      <c r="BL503" s="391"/>
      <c r="BM503" s="391"/>
      <c r="BN503" s="391"/>
      <c r="BO503" s="391"/>
      <c r="BP503" s="391"/>
      <c r="BQ503" s="391"/>
      <c r="BR503" s="391"/>
      <c r="BS503" s="391"/>
      <c r="BT503" s="391"/>
      <c r="BU503" s="391"/>
      <c r="BV503" s="391"/>
      <c r="BW503" s="391"/>
      <c r="BX503" s="391"/>
      <c r="BY503" s="391"/>
      <c r="BZ503" s="391"/>
      <c r="CA503" s="391"/>
      <c r="CB503" s="391"/>
      <c r="CC503" s="391"/>
      <c r="CD503" s="391"/>
      <c r="CE503" s="391"/>
      <c r="CF503" s="391"/>
      <c r="CG503" s="391"/>
      <c r="CH503" s="391"/>
      <c r="CI503" s="391"/>
      <c r="CJ503" s="391"/>
      <c r="CK503" s="391"/>
      <c r="CL503" s="391"/>
      <c r="CM503" s="391"/>
      <c r="CN503" s="391"/>
      <c r="CO503" s="391"/>
      <c r="CP503" s="391"/>
      <c r="CQ503" s="391"/>
      <c r="CR503" s="391"/>
      <c r="CS503" s="391"/>
    </row>
    <row r="504" spans="1:97" ht="13.2">
      <c r="A504" s="63" t="s">
        <v>8</v>
      </c>
      <c r="C504" s="63" t="s">
        <v>273</v>
      </c>
      <c r="D504" s="35"/>
      <c r="E504" s="35"/>
      <c r="F504" s="35"/>
      <c r="G504" s="35"/>
      <c r="H504" s="35"/>
      <c r="I504" s="35"/>
      <c r="J504" s="35"/>
      <c r="K504" s="35"/>
      <c r="L504" s="35"/>
      <c r="M504" s="35"/>
      <c r="N504" s="35"/>
      <c r="O504" s="35"/>
      <c r="P504" s="3"/>
      <c r="Q504" s="18"/>
      <c r="R504" s="18"/>
      <c r="S504" s="18"/>
      <c r="T504" s="18"/>
      <c r="U504" s="18"/>
      <c r="V504" s="18"/>
      <c r="W504" s="18"/>
      <c r="X504" s="18"/>
      <c r="Y504" s="18"/>
      <c r="Z504" s="18"/>
      <c r="AA504" s="18"/>
      <c r="AB504" s="18"/>
      <c r="AC504" s="18"/>
      <c r="AD504" s="18"/>
      <c r="AE504" s="18"/>
      <c r="AF504" s="18"/>
      <c r="AG504" s="18"/>
      <c r="AH504" s="18"/>
      <c r="AI504" s="18"/>
      <c r="AJ504" s="18"/>
      <c r="AK504" s="18"/>
      <c r="AL504" s="3"/>
      <c r="AM504" s="72"/>
      <c r="AN504" s="72"/>
      <c r="AO504" s="72"/>
      <c r="AP504" s="72"/>
      <c r="AQ504" s="72"/>
      <c r="AR504" s="72"/>
      <c r="AS504" s="72"/>
      <c r="AT504" s="72"/>
      <c r="AU504" s="72"/>
      <c r="AV504" s="72"/>
      <c r="AW504" s="72"/>
      <c r="AX504" s="72"/>
      <c r="AY504" s="72"/>
      <c r="AZ504" s="72"/>
      <c r="BA504" s="72"/>
      <c r="BB504" s="72"/>
      <c r="BC504" s="72"/>
      <c r="BD504" s="72"/>
      <c r="BE504" s="72"/>
      <c r="BF504" s="72"/>
      <c r="BG504" s="72"/>
      <c r="BH504" s="72"/>
      <c r="BI504" s="72"/>
      <c r="BJ504" s="72"/>
      <c r="BK504" s="72"/>
      <c r="BL504" s="72"/>
      <c r="BM504" s="72"/>
      <c r="BN504" s="72"/>
      <c r="BO504" s="72"/>
      <c r="BP504" s="72"/>
      <c r="BQ504" s="72"/>
      <c r="BR504" s="72"/>
      <c r="BS504" s="72"/>
      <c r="BT504" s="72"/>
      <c r="BU504" s="72"/>
      <c r="BV504" s="72"/>
      <c r="BW504" s="72"/>
      <c r="BX504" s="72"/>
      <c r="BY504" s="72"/>
      <c r="BZ504" s="72"/>
      <c r="CA504" s="72"/>
      <c r="CB504" s="72"/>
      <c r="CC504" s="72"/>
      <c r="CD504" s="72"/>
      <c r="CE504" s="72"/>
      <c r="CF504" s="72"/>
      <c r="CG504" s="72"/>
      <c r="CH504" s="72"/>
      <c r="CI504" s="72"/>
      <c r="CJ504" s="72"/>
      <c r="CK504" s="72"/>
      <c r="CL504" s="72"/>
      <c r="CM504" s="72"/>
      <c r="CN504" s="72"/>
      <c r="CO504" s="72"/>
      <c r="CP504" s="72"/>
      <c r="CQ504" s="72"/>
      <c r="CR504" s="72"/>
      <c r="CS504" s="72"/>
    </row>
    <row r="505" spans="1:97" ht="13.2">
      <c r="B505" s="35"/>
      <c r="C505" s="35"/>
      <c r="D505" s="35"/>
      <c r="E505" s="35"/>
      <c r="F505" s="35"/>
      <c r="G505" s="35"/>
      <c r="H505" s="35"/>
      <c r="I505" s="35"/>
      <c r="J505" s="35"/>
      <c r="K505" s="35"/>
      <c r="L505" s="35"/>
      <c r="M505" s="35"/>
      <c r="N505" s="35"/>
      <c r="O505" s="35"/>
      <c r="P505" s="3"/>
      <c r="Q505" s="18"/>
      <c r="R505" s="18"/>
      <c r="S505" s="18"/>
      <c r="T505" s="18"/>
      <c r="U505" s="18"/>
      <c r="V505" s="18"/>
      <c r="W505" s="18"/>
      <c r="X505" s="18"/>
      <c r="Y505" s="18"/>
      <c r="Z505" s="18"/>
      <c r="AA505" s="18"/>
      <c r="AB505" s="18"/>
      <c r="AC505" s="18"/>
      <c r="AD505" s="18"/>
      <c r="AE505" s="18"/>
      <c r="AF505" s="18"/>
      <c r="AG505" s="18"/>
      <c r="AH505" s="18"/>
      <c r="AI505" s="18"/>
      <c r="AJ505" s="18"/>
      <c r="AK505" s="18"/>
      <c r="AL505" s="3"/>
      <c r="AM505" s="72"/>
      <c r="AN505" s="72"/>
      <c r="AO505" s="72"/>
      <c r="AP505" s="72"/>
      <c r="AQ505" s="72"/>
      <c r="AR505" s="72"/>
      <c r="AS505" s="72"/>
      <c r="AT505" s="72"/>
      <c r="AU505" s="72"/>
      <c r="AV505" s="72"/>
      <c r="AW505" s="72"/>
      <c r="AX505" s="72"/>
      <c r="AY505" s="72"/>
      <c r="AZ505" s="72"/>
      <c r="BA505" s="72"/>
      <c r="BB505" s="72"/>
      <c r="BC505" s="72"/>
      <c r="BD505" s="72"/>
      <c r="BE505" s="72"/>
      <c r="BF505" s="72"/>
      <c r="BG505" s="72"/>
      <c r="BH505" s="72"/>
      <c r="BI505" s="72"/>
      <c r="BJ505" s="72"/>
      <c r="BK505" s="72"/>
      <c r="BL505" s="72"/>
      <c r="BM505" s="72"/>
      <c r="BN505" s="72"/>
      <c r="BO505" s="72"/>
      <c r="BP505" s="72"/>
      <c r="BQ505" s="72"/>
      <c r="BR505" s="72"/>
      <c r="BS505" s="72"/>
      <c r="BT505" s="72"/>
      <c r="BU505" s="72"/>
      <c r="BV505" s="72"/>
      <c r="BW505" s="72"/>
      <c r="BX505" s="72"/>
      <c r="BY505" s="72"/>
      <c r="BZ505" s="72"/>
      <c r="CA505" s="72"/>
      <c r="CB505" s="72"/>
      <c r="CC505" s="72"/>
      <c r="CD505" s="72"/>
      <c r="CE505" s="72"/>
      <c r="CF505" s="72"/>
      <c r="CG505" s="72"/>
      <c r="CH505" s="72"/>
      <c r="CI505" s="72"/>
      <c r="CJ505" s="72"/>
      <c r="CK505" s="72"/>
      <c r="CL505" s="72"/>
      <c r="CM505" s="72"/>
      <c r="CN505" s="72"/>
      <c r="CO505" s="72"/>
      <c r="CP505" s="72"/>
      <c r="CQ505" s="72"/>
      <c r="CR505" s="72"/>
      <c r="CS505" s="72"/>
    </row>
    <row r="506" spans="1:97" ht="13.2">
      <c r="B506" s="85"/>
      <c r="C506" s="86"/>
      <c r="D506" s="318"/>
      <c r="E506" s="86"/>
      <c r="F506" s="86"/>
      <c r="G506" s="86"/>
      <c r="H506" s="86"/>
      <c r="I506" s="86"/>
      <c r="J506" s="86"/>
      <c r="K506" s="86"/>
      <c r="L506" s="86"/>
      <c r="M506" s="86"/>
      <c r="N506" s="86"/>
      <c r="O506" s="86"/>
      <c r="P506" s="86"/>
      <c r="Q506" s="86"/>
      <c r="R506" s="86"/>
      <c r="S506" s="86"/>
      <c r="T506" s="86"/>
      <c r="U506" s="86"/>
      <c r="V506" s="86"/>
      <c r="W506" s="86"/>
      <c r="X506" s="86"/>
      <c r="Y506" s="86"/>
      <c r="Z506" s="86"/>
      <c r="AA506" s="86"/>
      <c r="AB506" s="108"/>
      <c r="AC506" s="1932" t="s">
        <v>274</v>
      </c>
      <c r="AD506" s="1933"/>
      <c r="AE506" s="1933"/>
      <c r="AF506" s="1933"/>
      <c r="AG506" s="1933"/>
      <c r="AH506" s="1933"/>
      <c r="AI506" s="1933"/>
      <c r="AJ506" s="1933"/>
      <c r="AK506" s="1934"/>
      <c r="AM506" s="72"/>
      <c r="AN506" s="72"/>
      <c r="AO506" s="72"/>
      <c r="AP506" s="72"/>
      <c r="AQ506" s="72"/>
      <c r="AR506" s="72"/>
      <c r="AS506" s="72"/>
      <c r="AT506" s="72"/>
      <c r="AU506" s="72"/>
      <c r="AV506" s="72"/>
      <c r="AW506" s="72"/>
      <c r="AX506" s="72"/>
      <c r="AY506" s="72"/>
      <c r="AZ506" s="72"/>
      <c r="BA506" s="72"/>
      <c r="BB506" s="72"/>
      <c r="BC506" s="72"/>
      <c r="BD506" s="72"/>
      <c r="BE506" s="72"/>
      <c r="BF506" s="72"/>
      <c r="BG506" s="72"/>
      <c r="BH506" s="72"/>
      <c r="BI506" s="72"/>
      <c r="BJ506" s="72"/>
      <c r="BK506" s="72"/>
      <c r="BL506" s="72"/>
      <c r="BM506" s="72"/>
      <c r="BN506" s="72"/>
      <c r="BO506" s="72"/>
      <c r="BP506" s="72"/>
      <c r="BQ506" s="72"/>
      <c r="BR506" s="72"/>
      <c r="BS506" s="72"/>
      <c r="BT506" s="72"/>
      <c r="BU506" s="72"/>
      <c r="BV506" s="72"/>
      <c r="BW506" s="72"/>
      <c r="BX506" s="72"/>
      <c r="BY506" s="72"/>
      <c r="BZ506" s="72"/>
      <c r="CA506" s="72"/>
      <c r="CB506" s="72"/>
      <c r="CC506" s="72"/>
      <c r="CD506" s="72"/>
      <c r="CE506" s="72"/>
      <c r="CF506" s="72"/>
      <c r="CG506" s="72"/>
      <c r="CH506" s="72"/>
      <c r="CI506" s="72"/>
      <c r="CJ506" s="72"/>
      <c r="CK506" s="72"/>
      <c r="CL506" s="72"/>
      <c r="CM506" s="72"/>
      <c r="CN506" s="72"/>
      <c r="CO506" s="72"/>
      <c r="CP506" s="72"/>
      <c r="CQ506" s="72"/>
      <c r="CR506" s="72"/>
      <c r="CS506" s="72"/>
    </row>
    <row r="507" spans="1:97" ht="13.2">
      <c r="B507" s="93"/>
      <c r="C507" s="94"/>
      <c r="D507" s="94"/>
      <c r="E507" s="94"/>
      <c r="F507" s="94"/>
      <c r="G507" s="94"/>
      <c r="H507" s="94"/>
      <c r="I507" s="94"/>
      <c r="J507" s="94"/>
      <c r="K507" s="94"/>
      <c r="L507" s="94"/>
      <c r="M507" s="94"/>
      <c r="N507" s="94"/>
      <c r="O507" s="94"/>
      <c r="P507" s="94"/>
      <c r="Q507" s="94"/>
      <c r="R507" s="94"/>
      <c r="S507" s="94"/>
      <c r="T507" s="94"/>
      <c r="U507" s="94"/>
      <c r="V507" s="94"/>
      <c r="W507" s="94"/>
      <c r="X507" s="94"/>
      <c r="Y507" s="94"/>
      <c r="Z507" s="94"/>
      <c r="AA507" s="94"/>
      <c r="AB507" s="95"/>
      <c r="AC507" s="1973" t="s">
        <v>275</v>
      </c>
      <c r="AD507" s="1974"/>
      <c r="AE507" s="1974"/>
      <c r="AF507" s="1974"/>
      <c r="AG507" s="96" t="s">
        <v>276</v>
      </c>
      <c r="AH507" s="1974" t="s">
        <v>277</v>
      </c>
      <c r="AI507" s="1974"/>
      <c r="AJ507" s="1974"/>
      <c r="AK507" s="2063"/>
      <c r="AM507" s="72"/>
      <c r="AN507" s="72"/>
      <c r="AO507" s="72"/>
      <c r="AP507" s="72"/>
      <c r="AQ507" s="72"/>
      <c r="AR507" s="72"/>
      <c r="AS507" s="72"/>
      <c r="AT507" s="72"/>
      <c r="AU507" s="72"/>
      <c r="AV507" s="72"/>
      <c r="AW507" s="72"/>
      <c r="AX507" s="72"/>
      <c r="AY507" s="72"/>
      <c r="AZ507" s="72"/>
      <c r="BA507" s="72"/>
      <c r="BB507" s="72"/>
      <c r="BC507" s="72"/>
      <c r="BD507" s="72"/>
      <c r="BE507" s="72"/>
      <c r="BF507" s="72"/>
      <c r="BG507" s="72"/>
      <c r="BH507" s="72"/>
      <c r="BI507" s="72"/>
      <c r="BJ507" s="72"/>
      <c r="BK507" s="72"/>
      <c r="BL507" s="72"/>
      <c r="BM507" s="72"/>
      <c r="BN507" s="72"/>
      <c r="BO507" s="72"/>
      <c r="BP507" s="72"/>
      <c r="BQ507" s="72"/>
      <c r="BR507" s="72"/>
      <c r="BS507" s="72"/>
      <c r="BT507" s="72"/>
      <c r="BU507" s="72"/>
      <c r="BV507" s="72"/>
      <c r="BW507" s="72"/>
      <c r="BX507" s="72"/>
      <c r="BY507" s="72"/>
      <c r="BZ507" s="72"/>
      <c r="CA507" s="72"/>
      <c r="CB507" s="72"/>
      <c r="CC507" s="72"/>
      <c r="CD507" s="72"/>
      <c r="CE507" s="72"/>
      <c r="CF507" s="72"/>
      <c r="CG507" s="72"/>
      <c r="CH507" s="72"/>
      <c r="CI507" s="72"/>
      <c r="CJ507" s="72"/>
      <c r="CK507" s="72"/>
      <c r="CL507" s="72"/>
      <c r="CM507" s="72"/>
      <c r="CN507" s="72"/>
      <c r="CO507" s="72"/>
      <c r="CP507" s="72"/>
      <c r="CQ507" s="72"/>
      <c r="CR507" s="72"/>
      <c r="CS507" s="72"/>
    </row>
    <row r="508" spans="1:97" ht="13.2">
      <c r="B508" s="1867" t="s">
        <v>278</v>
      </c>
      <c r="C508" s="1868"/>
      <c r="D508" s="1868"/>
      <c r="E508" s="1868"/>
      <c r="F508" s="1868"/>
      <c r="G508" s="1868"/>
      <c r="H508" s="1869"/>
      <c r="I508" s="86" t="s">
        <v>737</v>
      </c>
      <c r="J508" s="86"/>
      <c r="K508" s="86"/>
      <c r="L508" s="86"/>
      <c r="M508" s="86"/>
      <c r="N508" s="86"/>
      <c r="O508" s="86"/>
      <c r="P508" s="86"/>
      <c r="Q508" s="86"/>
      <c r="R508" s="86"/>
      <c r="S508" s="86"/>
      <c r="T508" s="86"/>
      <c r="U508" s="86"/>
      <c r="V508" s="86"/>
      <c r="W508" s="86"/>
      <c r="X508" s="35"/>
      <c r="Y508" s="35"/>
      <c r="AC508" s="1865">
        <v>12</v>
      </c>
      <c r="AD508" s="1866"/>
      <c r="AE508" s="1866"/>
      <c r="AF508" s="1866"/>
      <c r="AG508" s="89" t="s">
        <v>276</v>
      </c>
      <c r="AH508" s="1757">
        <v>2019</v>
      </c>
      <c r="AI508" s="1757"/>
      <c r="AJ508" s="1757"/>
      <c r="AK508" s="1758"/>
      <c r="AM508" s="72"/>
      <c r="AN508" s="72"/>
      <c r="AO508" s="72"/>
      <c r="AP508" s="72"/>
      <c r="AQ508" s="72"/>
      <c r="AR508" s="72"/>
      <c r="AS508" s="72"/>
      <c r="AT508" s="72"/>
      <c r="AU508" s="72"/>
      <c r="AV508" s="72"/>
      <c r="AW508" s="72"/>
      <c r="AX508" s="72"/>
      <c r="AY508" s="72"/>
      <c r="AZ508" s="72"/>
      <c r="BA508" s="72"/>
      <c r="BB508" s="72"/>
      <c r="BC508" s="72"/>
      <c r="BD508" s="72"/>
      <c r="BE508" s="72"/>
      <c r="BF508" s="72"/>
      <c r="BG508" s="72"/>
      <c r="BH508" s="72"/>
      <c r="BI508" s="72"/>
      <c r="BJ508" s="72"/>
      <c r="BK508" s="72"/>
      <c r="BL508" s="72"/>
      <c r="BM508" s="72"/>
      <c r="BN508" s="72"/>
      <c r="BO508" s="72"/>
      <c r="BP508" s="72"/>
      <c r="BQ508" s="72"/>
      <c r="BR508" s="72"/>
      <c r="BS508" s="72"/>
      <c r="BT508" s="72"/>
      <c r="BU508" s="72"/>
      <c r="BV508" s="72"/>
      <c r="BW508" s="72"/>
      <c r="BX508" s="72"/>
      <c r="BY508" s="72"/>
      <c r="BZ508" s="72"/>
      <c r="CA508" s="72"/>
      <c r="CB508" s="72"/>
      <c r="CC508" s="72"/>
      <c r="CD508" s="72"/>
      <c r="CE508" s="72"/>
      <c r="CF508" s="72"/>
      <c r="CG508" s="72"/>
      <c r="CH508" s="72"/>
      <c r="CI508" s="72"/>
      <c r="CJ508" s="72"/>
      <c r="CK508" s="72"/>
      <c r="CL508" s="72"/>
      <c r="CM508" s="72"/>
      <c r="CN508" s="72"/>
      <c r="CO508" s="72"/>
      <c r="CP508" s="72"/>
      <c r="CQ508" s="72"/>
      <c r="CR508" s="72"/>
      <c r="CS508" s="72"/>
    </row>
    <row r="509" spans="1:97" ht="13.2">
      <c r="B509" s="1870"/>
      <c r="C509" s="1871"/>
      <c r="D509" s="1871"/>
      <c r="E509" s="1871"/>
      <c r="F509" s="1871"/>
      <c r="G509" s="1871"/>
      <c r="H509" s="1872"/>
      <c r="I509" s="94" t="s">
        <v>738</v>
      </c>
      <c r="J509" s="94"/>
      <c r="K509" s="94"/>
      <c r="L509" s="94"/>
      <c r="M509" s="94"/>
      <c r="N509" s="94"/>
      <c r="O509" s="94"/>
      <c r="P509" s="94"/>
      <c r="Q509" s="94"/>
      <c r="R509" s="94"/>
      <c r="S509" s="94"/>
      <c r="T509" s="94"/>
      <c r="U509" s="94"/>
      <c r="V509" s="94"/>
      <c r="W509" s="94"/>
      <c r="X509" s="94"/>
      <c r="Y509" s="94"/>
      <c r="Z509" s="94"/>
      <c r="AA509" s="94"/>
      <c r="AB509" s="94"/>
      <c r="AC509" s="1865">
        <v>11</v>
      </c>
      <c r="AD509" s="1866"/>
      <c r="AE509" s="1866"/>
      <c r="AF509" s="1866"/>
      <c r="AG509" s="79" t="s">
        <v>276</v>
      </c>
      <c r="AH509" s="1757">
        <v>2017</v>
      </c>
      <c r="AI509" s="1757"/>
      <c r="AJ509" s="1757"/>
      <c r="AK509" s="1758"/>
      <c r="AM509" s="72"/>
      <c r="AN509" s="72"/>
      <c r="AO509" s="72"/>
      <c r="AP509" s="72"/>
      <c r="AQ509" s="72"/>
      <c r="AR509" s="72"/>
      <c r="AS509" s="72"/>
      <c r="AT509" s="72"/>
      <c r="AU509" s="72"/>
      <c r="AV509" s="72"/>
      <c r="AW509" s="72"/>
      <c r="AX509" s="72"/>
      <c r="AY509" s="72"/>
      <c r="AZ509" s="72"/>
      <c r="BA509" s="72"/>
      <c r="BB509" s="72"/>
      <c r="BC509" s="72"/>
      <c r="BD509" s="72"/>
      <c r="BE509" s="72"/>
      <c r="BF509" s="72"/>
      <c r="BG509" s="72"/>
      <c r="BH509" s="72"/>
      <c r="BI509" s="72"/>
      <c r="BJ509" s="72"/>
      <c r="BK509" s="72"/>
      <c r="BL509" s="72"/>
      <c r="BM509" s="72"/>
      <c r="BN509" s="72"/>
      <c r="BO509" s="72"/>
      <c r="BP509" s="72"/>
      <c r="BQ509" s="72"/>
      <c r="BR509" s="72"/>
      <c r="BS509" s="72"/>
      <c r="BT509" s="72"/>
      <c r="BU509" s="72"/>
      <c r="BV509" s="72"/>
      <c r="BW509" s="72"/>
      <c r="BX509" s="72"/>
      <c r="BY509" s="72"/>
      <c r="BZ509" s="72"/>
      <c r="CA509" s="72"/>
      <c r="CB509" s="72"/>
      <c r="CC509" s="72"/>
      <c r="CD509" s="72"/>
      <c r="CE509" s="72"/>
      <c r="CF509" s="72"/>
      <c r="CG509" s="72"/>
      <c r="CH509" s="72"/>
      <c r="CI509" s="72"/>
      <c r="CJ509" s="72"/>
      <c r="CK509" s="72"/>
      <c r="CL509" s="72"/>
      <c r="CM509" s="72"/>
      <c r="CN509" s="72"/>
      <c r="CO509" s="72"/>
      <c r="CP509" s="72"/>
      <c r="CQ509" s="72"/>
      <c r="CR509" s="72"/>
      <c r="CS509" s="72"/>
    </row>
    <row r="510" spans="1:97" ht="13.2">
      <c r="B510" s="1867" t="s">
        <v>739</v>
      </c>
      <c r="C510" s="1868"/>
      <c r="D510" s="1868"/>
      <c r="E510" s="1868"/>
      <c r="F510" s="1868"/>
      <c r="G510" s="1868"/>
      <c r="H510" s="1869"/>
      <c r="I510" s="86" t="s">
        <v>740</v>
      </c>
      <c r="J510" s="86"/>
      <c r="K510" s="86"/>
      <c r="L510" s="86"/>
      <c r="M510" s="86"/>
      <c r="N510" s="86"/>
      <c r="O510" s="86"/>
      <c r="P510" s="86"/>
      <c r="Q510" s="86"/>
      <c r="R510" s="86"/>
      <c r="S510" s="86"/>
      <c r="T510" s="86"/>
      <c r="U510" s="86"/>
      <c r="V510" s="86"/>
      <c r="W510" s="86"/>
      <c r="X510" s="35"/>
      <c r="Y510" s="35"/>
      <c r="AC510" s="1865" t="s">
        <v>136</v>
      </c>
      <c r="AD510" s="1866"/>
      <c r="AE510" s="1866"/>
      <c r="AF510" s="1866"/>
      <c r="AG510" s="89" t="s">
        <v>276</v>
      </c>
      <c r="AH510" s="1757"/>
      <c r="AI510" s="1757"/>
      <c r="AJ510" s="1757"/>
      <c r="AK510" s="1758"/>
      <c r="AM510" s="72"/>
      <c r="AN510" s="72"/>
      <c r="AO510" s="72"/>
      <c r="AP510" s="72"/>
      <c r="AQ510" s="72"/>
      <c r="AR510" s="72"/>
      <c r="AS510" s="72"/>
      <c r="AT510" s="72"/>
      <c r="AU510" s="72"/>
      <c r="AV510" s="72"/>
      <c r="AW510" s="72"/>
      <c r="AX510" s="72"/>
      <c r="AY510" s="72"/>
      <c r="AZ510" s="72"/>
      <c r="BA510" s="72"/>
      <c r="BB510" s="72"/>
      <c r="BC510" s="72"/>
      <c r="BD510" s="72"/>
      <c r="BE510" s="72"/>
      <c r="BF510" s="72"/>
      <c r="BG510" s="72"/>
      <c r="BH510" s="72"/>
      <c r="BI510" s="72"/>
      <c r="BJ510" s="72"/>
      <c r="BK510" s="72"/>
      <c r="BL510" s="72"/>
      <c r="BM510" s="72"/>
      <c r="BN510" s="72"/>
      <c r="BO510" s="72"/>
      <c r="BP510" s="72"/>
      <c r="BQ510" s="72"/>
      <c r="BR510" s="72"/>
      <c r="BS510" s="72"/>
      <c r="BT510" s="72"/>
      <c r="BU510" s="72"/>
      <c r="BV510" s="72"/>
      <c r="BW510" s="72"/>
      <c r="BX510" s="72"/>
      <c r="BY510" s="72"/>
      <c r="BZ510" s="72"/>
      <c r="CA510" s="72"/>
      <c r="CB510" s="72"/>
      <c r="CC510" s="72"/>
      <c r="CD510" s="72"/>
      <c r="CE510" s="72"/>
      <c r="CF510" s="72"/>
      <c r="CG510" s="72"/>
      <c r="CH510" s="72"/>
      <c r="CI510" s="72"/>
      <c r="CJ510" s="72"/>
      <c r="CK510" s="72"/>
      <c r="CL510" s="72"/>
      <c r="CM510" s="72"/>
      <c r="CN510" s="72"/>
      <c r="CO510" s="72"/>
      <c r="CP510" s="72"/>
      <c r="CQ510" s="72"/>
      <c r="CR510" s="72"/>
      <c r="CS510" s="72"/>
    </row>
    <row r="511" spans="1:97" ht="13.2">
      <c r="B511" s="1870"/>
      <c r="C511" s="1871"/>
      <c r="D511" s="1871"/>
      <c r="E511" s="1871"/>
      <c r="F511" s="1871"/>
      <c r="G511" s="1871"/>
      <c r="H511" s="1872"/>
      <c r="I511" s="35" t="s">
        <v>741</v>
      </c>
      <c r="J511" s="35"/>
      <c r="K511" s="35"/>
      <c r="L511" s="35"/>
      <c r="M511" s="35"/>
      <c r="N511" s="35"/>
      <c r="O511" s="35"/>
      <c r="P511" s="35"/>
      <c r="Q511" s="35"/>
      <c r="R511" s="35"/>
      <c r="S511" s="35"/>
      <c r="T511" s="35"/>
      <c r="U511" s="35"/>
      <c r="V511" s="35"/>
      <c r="W511" s="35"/>
      <c r="X511" s="35"/>
      <c r="Y511" s="35"/>
      <c r="AC511" s="1865" t="s">
        <v>136</v>
      </c>
      <c r="AD511" s="1866"/>
      <c r="AE511" s="1866"/>
      <c r="AF511" s="1866"/>
      <c r="AG511" s="89" t="s">
        <v>276</v>
      </c>
      <c r="AH511" s="1757"/>
      <c r="AI511" s="1757"/>
      <c r="AJ511" s="1757"/>
      <c r="AK511" s="1758"/>
      <c r="AM511" s="72"/>
      <c r="AN511" s="72"/>
      <c r="AO511" s="72"/>
      <c r="AP511" s="72"/>
      <c r="AQ511" s="72"/>
      <c r="AR511" s="72"/>
      <c r="AS511" s="72"/>
      <c r="AT511" s="72"/>
      <c r="AU511" s="72"/>
      <c r="AV511" s="72"/>
      <c r="AW511" s="72"/>
      <c r="AX511" s="72"/>
      <c r="AY511" s="72"/>
      <c r="AZ511" s="72"/>
      <c r="BA511" s="72"/>
      <c r="BB511" s="72"/>
      <c r="BC511" s="72"/>
      <c r="BD511" s="72"/>
      <c r="BE511" s="72"/>
      <c r="BF511" s="72"/>
      <c r="BG511" s="72"/>
      <c r="BH511" s="72"/>
      <c r="BI511" s="72"/>
      <c r="BJ511" s="72"/>
      <c r="BK511" s="72"/>
      <c r="BL511" s="72"/>
      <c r="BM511" s="72"/>
      <c r="BN511" s="72"/>
      <c r="BO511" s="72"/>
      <c r="BP511" s="72"/>
      <c r="BQ511" s="72"/>
      <c r="BR511" s="72"/>
      <c r="BS511" s="72"/>
      <c r="BT511" s="72"/>
      <c r="BU511" s="72"/>
      <c r="BV511" s="72"/>
      <c r="BW511" s="72"/>
      <c r="BX511" s="72"/>
      <c r="BY511" s="72"/>
      <c r="BZ511" s="72"/>
      <c r="CA511" s="72"/>
      <c r="CB511" s="72"/>
      <c r="CC511" s="72"/>
      <c r="CD511" s="72"/>
      <c r="CE511" s="72"/>
      <c r="CF511" s="72"/>
      <c r="CG511" s="72"/>
      <c r="CH511" s="72"/>
      <c r="CI511" s="72"/>
      <c r="CJ511" s="72"/>
      <c r="CK511" s="72"/>
      <c r="CL511" s="72"/>
      <c r="CM511" s="72"/>
      <c r="CN511" s="72"/>
      <c r="CO511" s="72"/>
      <c r="CP511" s="72"/>
      <c r="CQ511" s="72"/>
      <c r="CR511" s="72"/>
      <c r="CS511" s="72"/>
    </row>
    <row r="512" spans="1:97" ht="13.2">
      <c r="B512" s="1870"/>
      <c r="C512" s="1871"/>
      <c r="D512" s="1871"/>
      <c r="E512" s="1871"/>
      <c r="F512" s="1871"/>
      <c r="G512" s="1871"/>
      <c r="H512" s="1872"/>
      <c r="I512" s="35" t="s">
        <v>742</v>
      </c>
      <c r="J512" s="35"/>
      <c r="K512" s="35"/>
      <c r="L512" s="35"/>
      <c r="M512" s="35"/>
      <c r="N512" s="35"/>
      <c r="O512" s="35"/>
      <c r="P512" s="35"/>
      <c r="Q512" s="35"/>
      <c r="R512" s="35"/>
      <c r="S512" s="35"/>
      <c r="T512" s="35"/>
      <c r="U512" s="35"/>
      <c r="V512" s="35"/>
      <c r="W512" s="35"/>
      <c r="X512" s="35"/>
      <c r="Y512" s="35"/>
      <c r="AC512" s="1865">
        <v>12</v>
      </c>
      <c r="AD512" s="1866"/>
      <c r="AE512" s="1866"/>
      <c r="AF512" s="1866"/>
      <c r="AG512" s="89" t="s">
        <v>276</v>
      </c>
      <c r="AH512" s="1757">
        <v>2019</v>
      </c>
      <c r="AI512" s="1757"/>
      <c r="AJ512" s="1757"/>
      <c r="AK512" s="1758"/>
      <c r="AM512" s="72"/>
      <c r="AN512" s="72"/>
      <c r="AO512" s="72"/>
      <c r="AP512" s="72"/>
      <c r="AQ512" s="72"/>
      <c r="AR512" s="72"/>
      <c r="AS512" s="72"/>
      <c r="AT512" s="72"/>
      <c r="AU512" s="72"/>
      <c r="AV512" s="72"/>
      <c r="AW512" s="72"/>
      <c r="AX512" s="72"/>
      <c r="AY512" s="72"/>
      <c r="AZ512" s="72"/>
      <c r="BA512" s="72"/>
      <c r="BB512" s="72"/>
      <c r="BC512" s="72"/>
      <c r="BD512" s="72"/>
      <c r="BE512" s="72"/>
      <c r="BF512" s="72"/>
      <c r="BG512" s="72"/>
      <c r="BH512" s="72"/>
      <c r="BI512" s="72"/>
      <c r="BJ512" s="72"/>
      <c r="BK512" s="72"/>
      <c r="BL512" s="72"/>
      <c r="BM512" s="72"/>
      <c r="BN512" s="72"/>
      <c r="BO512" s="72"/>
      <c r="BP512" s="72"/>
      <c r="BQ512" s="72"/>
      <c r="BR512" s="72"/>
      <c r="BS512" s="72"/>
      <c r="BT512" s="72"/>
      <c r="BU512" s="72"/>
      <c r="BV512" s="72"/>
      <c r="BW512" s="72"/>
      <c r="BX512" s="72"/>
      <c r="BY512" s="72"/>
      <c r="BZ512" s="72"/>
      <c r="CA512" s="72"/>
      <c r="CB512" s="72"/>
      <c r="CC512" s="72"/>
      <c r="CD512" s="72"/>
      <c r="CE512" s="72"/>
      <c r="CF512" s="72"/>
      <c r="CG512" s="72"/>
      <c r="CH512" s="72"/>
      <c r="CI512" s="72"/>
      <c r="CJ512" s="72"/>
      <c r="CK512" s="72"/>
      <c r="CL512" s="72"/>
      <c r="CM512" s="72"/>
      <c r="CN512" s="72"/>
      <c r="CO512" s="72"/>
      <c r="CP512" s="72"/>
      <c r="CQ512" s="72"/>
      <c r="CR512" s="72"/>
      <c r="CS512" s="72"/>
    </row>
    <row r="513" spans="2:97" ht="13.2">
      <c r="B513" s="1870"/>
      <c r="C513" s="1871"/>
      <c r="D513" s="1871"/>
      <c r="E513" s="1871"/>
      <c r="F513" s="1871"/>
      <c r="G513" s="1871"/>
      <c r="H513" s="1872"/>
      <c r="I513" s="35" t="s">
        <v>743</v>
      </c>
      <c r="J513" s="35"/>
      <c r="K513" s="35"/>
      <c r="L513" s="35"/>
      <c r="M513" s="35"/>
      <c r="N513" s="35"/>
      <c r="O513" s="35"/>
      <c r="P513" s="35"/>
      <c r="Q513" s="35"/>
      <c r="R513" s="35"/>
      <c r="S513" s="35"/>
      <c r="T513" s="35"/>
      <c r="U513" s="35"/>
      <c r="V513" s="35"/>
      <c r="W513" s="35"/>
      <c r="X513" s="35"/>
      <c r="Y513" s="35"/>
      <c r="AC513" s="1865">
        <v>12</v>
      </c>
      <c r="AD513" s="1866"/>
      <c r="AE513" s="1866"/>
      <c r="AF513" s="1866"/>
      <c r="AG513" s="89" t="s">
        <v>276</v>
      </c>
      <c r="AH513" s="1757">
        <v>2021</v>
      </c>
      <c r="AI513" s="1757"/>
      <c r="AJ513" s="1757"/>
      <c r="AK513" s="1758"/>
      <c r="AM513" s="72"/>
      <c r="AN513" s="72"/>
      <c r="AO513" s="72"/>
      <c r="AP513" s="72"/>
      <c r="AQ513" s="72"/>
      <c r="AR513" s="72"/>
      <c r="AS513" s="72"/>
      <c r="AT513" s="72"/>
      <c r="AU513" s="72"/>
      <c r="AV513" s="72"/>
      <c r="AW513" s="72"/>
      <c r="AX513" s="72"/>
      <c r="AY513" s="72"/>
      <c r="AZ513" s="72"/>
      <c r="BA513" s="72"/>
      <c r="BB513" s="72"/>
      <c r="BC513" s="72"/>
      <c r="BD513" s="72"/>
      <c r="BE513" s="72"/>
      <c r="BF513" s="72"/>
      <c r="BG513" s="72"/>
      <c r="BH513" s="72"/>
      <c r="BI513" s="72"/>
      <c r="BJ513" s="72"/>
      <c r="BK513" s="72"/>
      <c r="BL513" s="72"/>
      <c r="BM513" s="72"/>
      <c r="BN513" s="72"/>
      <c r="BO513" s="72"/>
      <c r="BP513" s="72"/>
      <c r="BQ513" s="72"/>
      <c r="BR513" s="72"/>
      <c r="BS513" s="72"/>
      <c r="BT513" s="72"/>
      <c r="BU513" s="72"/>
      <c r="BV513" s="72"/>
      <c r="BW513" s="72"/>
      <c r="BX513" s="72"/>
      <c r="BY513" s="72"/>
      <c r="BZ513" s="72"/>
      <c r="CA513" s="72"/>
      <c r="CB513" s="72"/>
      <c r="CC513" s="72"/>
      <c r="CD513" s="72"/>
      <c r="CE513" s="72"/>
      <c r="CF513" s="72"/>
      <c r="CG513" s="72"/>
      <c r="CH513" s="72"/>
      <c r="CI513" s="72"/>
      <c r="CJ513" s="72"/>
      <c r="CK513" s="72"/>
      <c r="CL513" s="72"/>
      <c r="CM513" s="72"/>
      <c r="CN513" s="72"/>
      <c r="CO513" s="72"/>
      <c r="CP513" s="72"/>
      <c r="CQ513" s="72"/>
      <c r="CR513" s="72"/>
      <c r="CS513" s="72"/>
    </row>
    <row r="514" spans="2:97" ht="13.2">
      <c r="B514" s="1870"/>
      <c r="C514" s="1871"/>
      <c r="D514" s="1871"/>
      <c r="E514" s="1871"/>
      <c r="F514" s="1871"/>
      <c r="G514" s="1871"/>
      <c r="H514" s="1872"/>
      <c r="I514" s="326" t="s">
        <v>744</v>
      </c>
      <c r="J514" s="35"/>
      <c r="K514" s="35"/>
      <c r="L514" s="35"/>
      <c r="M514" s="35"/>
      <c r="N514" s="35"/>
      <c r="O514" s="35"/>
      <c r="P514" s="35"/>
      <c r="Q514" s="35"/>
      <c r="R514" s="35"/>
      <c r="S514" s="35"/>
      <c r="T514" s="35"/>
      <c r="U514" s="35"/>
      <c r="V514" s="35"/>
      <c r="W514" s="35"/>
      <c r="X514" s="35"/>
      <c r="Y514" s="35"/>
      <c r="AC514" s="1775">
        <v>12</v>
      </c>
      <c r="AD514" s="1776"/>
      <c r="AE514" s="1776"/>
      <c r="AF514" s="1776"/>
      <c r="AG514" s="1403" t="s">
        <v>276</v>
      </c>
      <c r="AH514" s="1757">
        <v>2021</v>
      </c>
      <c r="AI514" s="1757"/>
      <c r="AJ514" s="1757"/>
      <c r="AK514" s="1758"/>
      <c r="AM514" s="72"/>
      <c r="AN514" s="72"/>
      <c r="AO514" s="72"/>
      <c r="AP514" s="72"/>
      <c r="AQ514" s="72"/>
      <c r="AR514" s="72"/>
      <c r="AS514" s="72"/>
      <c r="AT514" s="72"/>
      <c r="AU514" s="72"/>
      <c r="AV514" s="72"/>
      <c r="AW514" s="72"/>
      <c r="AX514" s="72"/>
      <c r="AY514" s="72"/>
      <c r="AZ514" s="72"/>
      <c r="BA514" s="72"/>
      <c r="BB514" s="72"/>
      <c r="BC514" s="72"/>
      <c r="BD514" s="72"/>
      <c r="BE514" s="72"/>
      <c r="BF514" s="72"/>
      <c r="BG514" s="72"/>
      <c r="BH514" s="72"/>
      <c r="BI514" s="72"/>
      <c r="BJ514" s="72"/>
      <c r="BK514" s="72"/>
      <c r="BL514" s="72"/>
      <c r="BM514" s="72"/>
      <c r="BN514" s="72"/>
      <c r="BO514" s="72"/>
      <c r="BP514" s="72"/>
      <c r="BQ514" s="72"/>
      <c r="BR514" s="72"/>
      <c r="BS514" s="72"/>
      <c r="BT514" s="72"/>
      <c r="BU514" s="72"/>
      <c r="BV514" s="72"/>
      <c r="BW514" s="72"/>
      <c r="BX514" s="72"/>
      <c r="BY514" s="72"/>
      <c r="BZ514" s="72"/>
      <c r="CA514" s="72"/>
      <c r="CB514" s="72"/>
      <c r="CC514" s="72"/>
      <c r="CD514" s="72"/>
      <c r="CE514" s="72"/>
      <c r="CF514" s="72"/>
      <c r="CG514" s="72"/>
      <c r="CH514" s="72"/>
      <c r="CI514" s="72"/>
      <c r="CJ514" s="72"/>
      <c r="CK514" s="72"/>
      <c r="CL514" s="72"/>
      <c r="CM514" s="72"/>
      <c r="CN514" s="72"/>
      <c r="CO514" s="72"/>
      <c r="CP514" s="72"/>
      <c r="CQ514" s="72"/>
      <c r="CR514" s="72"/>
      <c r="CS514" s="72"/>
    </row>
    <row r="515" spans="2:97" ht="13.2">
      <c r="B515" s="1870"/>
      <c r="C515" s="1871"/>
      <c r="D515" s="1871"/>
      <c r="E515" s="1871"/>
      <c r="F515" s="1871"/>
      <c r="G515" s="1871"/>
      <c r="H515" s="1872"/>
      <c r="I515" s="646" t="s">
        <v>311</v>
      </c>
      <c r="J515" s="94"/>
      <c r="K515" s="94"/>
      <c r="L515" s="1955" t="s">
        <v>622</v>
      </c>
      <c r="M515" s="1882"/>
      <c r="N515" s="1882"/>
      <c r="O515" s="1882"/>
      <c r="P515" s="1882"/>
      <c r="Q515" s="1882"/>
      <c r="R515" s="1882"/>
      <c r="S515" s="1882"/>
      <c r="T515" s="1882"/>
      <c r="U515" s="1882"/>
      <c r="V515" s="1882"/>
      <c r="W515" s="1882"/>
      <c r="X515" s="1882"/>
      <c r="Y515" s="1882"/>
      <c r="Z515" s="1882"/>
      <c r="AA515" s="1882"/>
      <c r="AB515" s="1956"/>
      <c r="AC515" s="1957" t="s">
        <v>136</v>
      </c>
      <c r="AD515" s="1958"/>
      <c r="AE515" s="1958"/>
      <c r="AF515" s="1958"/>
      <c r="AG515" s="1399" t="s">
        <v>276</v>
      </c>
      <c r="AH515" s="1757"/>
      <c r="AI515" s="1757"/>
      <c r="AJ515" s="1757"/>
      <c r="AK515" s="1758"/>
      <c r="AM515" s="72"/>
      <c r="AN515" s="72"/>
      <c r="AO515" s="72"/>
      <c r="AP515" s="72"/>
      <c r="AQ515" s="72"/>
      <c r="AR515" s="72"/>
      <c r="AS515" s="72"/>
      <c r="AT515" s="72"/>
      <c r="AU515" s="72"/>
      <c r="AV515" s="72"/>
      <c r="AW515" s="72"/>
      <c r="AX515" s="72"/>
      <c r="AY515" s="72"/>
      <c r="AZ515" s="72"/>
      <c r="BA515" s="72"/>
      <c r="BB515" s="72"/>
      <c r="BC515" s="72"/>
      <c r="BD515" s="72"/>
      <c r="BE515" s="72"/>
      <c r="BF515" s="72"/>
      <c r="BG515" s="72"/>
      <c r="BH515" s="72"/>
      <c r="BI515" s="72"/>
      <c r="BJ515" s="72"/>
      <c r="BK515" s="72"/>
      <c r="BL515" s="72"/>
      <c r="BM515" s="72"/>
      <c r="BN515" s="72"/>
      <c r="BO515" s="72"/>
      <c r="BP515" s="72"/>
      <c r="BQ515" s="72"/>
      <c r="BR515" s="72"/>
      <c r="BS515" s="72"/>
      <c r="BT515" s="72"/>
      <c r="BU515" s="72"/>
      <c r="BV515" s="72"/>
      <c r="BW515" s="72"/>
      <c r="BX515" s="72"/>
      <c r="BY515" s="72"/>
      <c r="BZ515" s="72"/>
      <c r="CA515" s="72"/>
      <c r="CB515" s="72"/>
      <c r="CC515" s="72"/>
      <c r="CD515" s="72"/>
      <c r="CE515" s="72"/>
      <c r="CF515" s="72"/>
      <c r="CG515" s="72"/>
      <c r="CH515" s="72"/>
      <c r="CI515" s="72"/>
      <c r="CJ515" s="72"/>
      <c r="CK515" s="72"/>
      <c r="CL515" s="72"/>
      <c r="CM515" s="72"/>
      <c r="CN515" s="72"/>
      <c r="CO515" s="72"/>
      <c r="CP515" s="72"/>
      <c r="CQ515" s="72"/>
      <c r="CR515" s="72"/>
      <c r="CS515" s="72"/>
    </row>
    <row r="516" spans="2:97" ht="13.2">
      <c r="B516" s="1870"/>
      <c r="C516" s="1871"/>
      <c r="D516" s="1871"/>
      <c r="E516" s="1871"/>
      <c r="F516" s="1871"/>
      <c r="G516" s="1871"/>
      <c r="H516" s="1872"/>
      <c r="I516" s="1105" t="s">
        <v>2284</v>
      </c>
      <c r="J516" s="35"/>
      <c r="K516" s="35"/>
      <c r="L516" s="35"/>
      <c r="M516" s="35"/>
      <c r="N516" s="35"/>
      <c r="O516" s="35"/>
      <c r="P516" s="35"/>
      <c r="Q516" s="35"/>
      <c r="R516" s="35"/>
      <c r="S516" s="35"/>
      <c r="T516" s="35"/>
      <c r="U516" s="35"/>
      <c r="V516" s="35"/>
      <c r="W516" s="35"/>
      <c r="X516" s="35"/>
      <c r="Y516" s="35"/>
      <c r="AC516" s="1959" t="s">
        <v>531</v>
      </c>
      <c r="AD516" s="1959"/>
      <c r="AE516" s="1959"/>
      <c r="AF516" s="1959"/>
      <c r="AG516" s="1403"/>
      <c r="AH516" s="1892"/>
      <c r="AI516" s="1892"/>
      <c r="AJ516" s="1892"/>
      <c r="AK516" s="1893"/>
      <c r="AM516" s="72"/>
      <c r="AN516" s="72"/>
      <c r="AO516" s="72"/>
      <c r="AP516" s="72"/>
      <c r="AQ516" s="72"/>
      <c r="AR516" s="72"/>
      <c r="AS516" s="72"/>
      <c r="AT516" s="72"/>
      <c r="AU516" s="72"/>
      <c r="AV516" s="72"/>
      <c r="AW516" s="72"/>
      <c r="AX516" s="72"/>
      <c r="AY516" s="72"/>
      <c r="AZ516" s="72"/>
      <c r="BA516" s="72"/>
      <c r="BB516" s="72"/>
      <c r="BC516" s="72"/>
      <c r="BD516" s="72"/>
      <c r="BE516" s="72"/>
      <c r="BF516" s="72"/>
      <c r="BG516" s="72"/>
      <c r="BH516" s="72"/>
      <c r="BI516" s="72"/>
      <c r="BJ516" s="72"/>
      <c r="BK516" s="72"/>
      <c r="BL516" s="72"/>
      <c r="BM516" s="72"/>
      <c r="BN516" s="72"/>
      <c r="BO516" s="72"/>
      <c r="BP516" s="72"/>
      <c r="BQ516" s="72"/>
      <c r="BR516" s="72"/>
      <c r="BS516" s="72"/>
      <c r="BT516" s="72"/>
      <c r="BU516" s="72"/>
      <c r="BV516" s="72"/>
      <c r="BW516" s="72"/>
      <c r="BX516" s="72"/>
      <c r="BY516" s="72"/>
      <c r="BZ516" s="72"/>
      <c r="CA516" s="72"/>
      <c r="CB516" s="72"/>
      <c r="CC516" s="72"/>
      <c r="CD516" s="72"/>
      <c r="CE516" s="72"/>
      <c r="CF516" s="72"/>
      <c r="CG516" s="72"/>
      <c r="CH516" s="72"/>
      <c r="CI516" s="72"/>
      <c r="CJ516" s="72"/>
      <c r="CK516" s="72"/>
      <c r="CL516" s="72"/>
      <c r="CM516" s="72"/>
      <c r="CN516" s="72"/>
      <c r="CO516" s="72"/>
      <c r="CP516" s="72"/>
      <c r="CQ516" s="72"/>
      <c r="CR516" s="72"/>
      <c r="CS516" s="72"/>
    </row>
    <row r="517" spans="2:97" ht="13.2">
      <c r="B517" s="1870"/>
      <c r="C517" s="1871"/>
      <c r="D517" s="1871"/>
      <c r="E517" s="1871"/>
      <c r="F517" s="1871"/>
      <c r="G517" s="1871"/>
      <c r="H517" s="1872"/>
      <c r="I517" s="645" t="s">
        <v>2285</v>
      </c>
      <c r="J517" s="35"/>
      <c r="K517" s="35"/>
      <c r="L517" s="35"/>
      <c r="M517" s="35"/>
      <c r="N517" s="35"/>
      <c r="O517" s="35"/>
      <c r="P517" s="35"/>
      <c r="Q517" s="35"/>
      <c r="R517" s="35"/>
      <c r="S517" s="35"/>
      <c r="T517" s="35"/>
      <c r="U517" s="35"/>
      <c r="V517" s="35"/>
      <c r="W517" s="35"/>
      <c r="X517" s="35"/>
      <c r="Y517" s="35"/>
      <c r="AC517" s="1775"/>
      <c r="AD517" s="1776"/>
      <c r="AE517" s="1776"/>
      <c r="AF517" s="1777"/>
      <c r="AG517" s="1403"/>
      <c r="AH517" s="1892"/>
      <c r="AI517" s="1892"/>
      <c r="AJ517" s="1892"/>
      <c r="AK517" s="1893"/>
      <c r="AM517" s="72"/>
      <c r="AN517" s="72"/>
      <c r="AO517" s="72"/>
      <c r="AP517" s="72"/>
      <c r="AQ517" s="72"/>
      <c r="AR517" s="72"/>
      <c r="AS517" s="72"/>
      <c r="AT517" s="72"/>
      <c r="AU517" s="72"/>
      <c r="AV517" s="72"/>
      <c r="AW517" s="72"/>
      <c r="AX517" s="72"/>
      <c r="AY517" s="72"/>
      <c r="AZ517" s="72"/>
      <c r="BA517" s="72"/>
      <c r="BB517" s="72"/>
      <c r="BC517" s="72"/>
      <c r="BD517" s="72"/>
      <c r="BE517" s="72"/>
      <c r="BF517" s="72"/>
      <c r="BG517" s="72"/>
      <c r="BH517" s="72"/>
      <c r="BI517" s="72"/>
      <c r="BJ517" s="72"/>
      <c r="BK517" s="72"/>
      <c r="BL517" s="72"/>
      <c r="BM517" s="72"/>
      <c r="BN517" s="72"/>
      <c r="BO517" s="72"/>
      <c r="BP517" s="72"/>
      <c r="BQ517" s="72"/>
      <c r="BR517" s="72"/>
      <c r="BS517" s="72"/>
      <c r="BT517" s="72"/>
      <c r="BU517" s="72"/>
      <c r="BV517" s="72"/>
      <c r="BW517" s="72"/>
      <c r="BX517" s="72"/>
      <c r="BY517" s="72"/>
      <c r="BZ517" s="72"/>
      <c r="CA517" s="72"/>
      <c r="CB517" s="72"/>
      <c r="CC517" s="72"/>
      <c r="CD517" s="72"/>
      <c r="CE517" s="72"/>
      <c r="CF517" s="72"/>
      <c r="CG517" s="72"/>
      <c r="CH517" s="72"/>
      <c r="CI517" s="72"/>
      <c r="CJ517" s="72"/>
      <c r="CK517" s="72"/>
      <c r="CL517" s="72"/>
      <c r="CM517" s="72"/>
      <c r="CN517" s="72"/>
      <c r="CO517" s="72"/>
      <c r="CP517" s="72"/>
      <c r="CQ517" s="72"/>
      <c r="CR517" s="72"/>
      <c r="CS517" s="72"/>
    </row>
    <row r="518" spans="2:97" ht="13.2">
      <c r="B518" s="1870"/>
      <c r="C518" s="1871"/>
      <c r="D518" s="1871"/>
      <c r="E518" s="1871"/>
      <c r="F518" s="1871"/>
      <c r="G518" s="1871"/>
      <c r="H518" s="1872"/>
      <c r="I518" s="645" t="s">
        <v>2286</v>
      </c>
      <c r="J518" s="35"/>
      <c r="K518" s="35"/>
      <c r="L518" s="35"/>
      <c r="M518" s="35"/>
      <c r="N518" s="35"/>
      <c r="O518" s="35"/>
      <c r="P518" s="35"/>
      <c r="Q518" s="35"/>
      <c r="R518" s="35"/>
      <c r="S518" s="35"/>
      <c r="T518" s="35"/>
      <c r="U518" s="35"/>
      <c r="V518" s="35"/>
      <c r="W518" s="35"/>
      <c r="X518" s="35"/>
      <c r="Y518" s="35"/>
      <c r="AC518" s="1436"/>
      <c r="AD518" s="1437"/>
      <c r="AE518" s="1437"/>
      <c r="AF518" s="1438"/>
      <c r="AG518" s="1402"/>
      <c r="AH518" s="1405"/>
      <c r="AI518" s="1405"/>
      <c r="AJ518" s="1405"/>
      <c r="AK518" s="1439"/>
      <c r="AM518" s="72"/>
      <c r="AN518" s="72"/>
      <c r="AO518" s="72"/>
      <c r="AP518" s="72"/>
      <c r="AQ518" s="72"/>
      <c r="AR518" s="72"/>
      <c r="AS518" s="72"/>
      <c r="AT518" s="72"/>
      <c r="AU518" s="72"/>
      <c r="AV518" s="72"/>
      <c r="AW518" s="72"/>
      <c r="AX518" s="72"/>
      <c r="AY518" s="72"/>
      <c r="AZ518" s="72"/>
      <c r="BA518" s="72"/>
      <c r="BB518" s="72"/>
      <c r="BC518" s="72"/>
      <c r="BD518" s="72"/>
      <c r="BE518" s="72"/>
      <c r="BF518" s="72"/>
      <c r="BG518" s="72"/>
      <c r="BH518" s="72"/>
      <c r="BI518" s="72"/>
      <c r="BJ518" s="72"/>
      <c r="BK518" s="72"/>
      <c r="BL518" s="72"/>
      <c r="BM518" s="72"/>
      <c r="BN518" s="72"/>
      <c r="BO518" s="72"/>
      <c r="BP518" s="72"/>
      <c r="BQ518" s="72"/>
      <c r="BR518" s="72"/>
      <c r="BS518" s="72"/>
      <c r="BT518" s="72"/>
      <c r="BU518" s="72"/>
      <c r="BV518" s="72"/>
      <c r="BW518" s="72"/>
      <c r="BX518" s="72"/>
      <c r="BY518" s="72"/>
      <c r="BZ518" s="72"/>
      <c r="CA518" s="72"/>
      <c r="CB518" s="72"/>
      <c r="CC518" s="72"/>
      <c r="CD518" s="72"/>
      <c r="CE518" s="72"/>
      <c r="CF518" s="72"/>
      <c r="CG518" s="72"/>
      <c r="CH518" s="72"/>
      <c r="CI518" s="72"/>
      <c r="CJ518" s="72"/>
      <c r="CK518" s="72"/>
      <c r="CL518" s="72"/>
      <c r="CM518" s="72"/>
      <c r="CN518" s="72"/>
      <c r="CO518" s="72"/>
      <c r="CP518" s="72"/>
      <c r="CQ518" s="72"/>
      <c r="CR518" s="72"/>
      <c r="CS518" s="72"/>
    </row>
    <row r="519" spans="2:97" ht="13.2">
      <c r="B519" s="1870"/>
      <c r="C519" s="1871"/>
      <c r="D519" s="1871"/>
      <c r="E519" s="1871"/>
      <c r="F519" s="1871"/>
      <c r="G519" s="1871"/>
      <c r="H519" s="1872"/>
      <c r="I519" s="1440" t="s">
        <v>2287</v>
      </c>
      <c r="J519" s="94"/>
      <c r="K519" s="94"/>
      <c r="L519" s="94"/>
      <c r="M519" s="94"/>
      <c r="N519" s="94"/>
      <c r="O519" s="94"/>
      <c r="P519" s="94"/>
      <c r="Q519" s="94"/>
      <c r="R519" s="94"/>
      <c r="S519" s="94"/>
      <c r="T519" s="94"/>
      <c r="U519" s="94"/>
      <c r="V519" s="94"/>
      <c r="W519" s="94"/>
      <c r="X519" s="94"/>
      <c r="Y519" s="94"/>
      <c r="Z519" s="94"/>
      <c r="AA519" s="94"/>
      <c r="AB519" s="94"/>
      <c r="AC519" s="1894">
        <v>0.25</v>
      </c>
      <c r="AD519" s="1895"/>
      <c r="AE519" s="1895"/>
      <c r="AF519" s="1896"/>
      <c r="AG519" s="1399"/>
      <c r="AH519" s="1971"/>
      <c r="AI519" s="1971"/>
      <c r="AJ519" s="1971"/>
      <c r="AK519" s="1972"/>
      <c r="AM519" s="72"/>
      <c r="AN519" s="72"/>
      <c r="AO519" s="72"/>
      <c r="AP519" s="72"/>
      <c r="AQ519" s="72"/>
      <c r="AR519" s="72"/>
      <c r="AS519" s="72"/>
      <c r="AT519" s="72"/>
      <c r="AU519" s="72"/>
      <c r="AV519" s="72"/>
      <c r="AW519" s="72"/>
      <c r="AX519" s="72"/>
      <c r="AY519" s="72"/>
      <c r="AZ519" s="72"/>
      <c r="BA519" s="72"/>
      <c r="BB519" s="72"/>
      <c r="BC519" s="72"/>
      <c r="BD519" s="72"/>
      <c r="BE519" s="72"/>
      <c r="BF519" s="72"/>
      <c r="BG519" s="72"/>
      <c r="BH519" s="72"/>
      <c r="BI519" s="72"/>
      <c r="BJ519" s="72"/>
      <c r="BK519" s="72"/>
      <c r="BL519" s="72"/>
      <c r="BM519" s="72"/>
      <c r="BN519" s="72"/>
      <c r="BO519" s="72"/>
      <c r="BP519" s="72"/>
      <c r="BQ519" s="72"/>
      <c r="BR519" s="72"/>
      <c r="BS519" s="72"/>
      <c r="BT519" s="72"/>
      <c r="BU519" s="72"/>
      <c r="BV519" s="72"/>
      <c r="BW519" s="72"/>
      <c r="BX519" s="72"/>
      <c r="BY519" s="72"/>
      <c r="BZ519" s="72"/>
      <c r="CA519" s="72"/>
      <c r="CB519" s="72"/>
      <c r="CC519" s="72"/>
      <c r="CD519" s="72"/>
      <c r="CE519" s="72"/>
      <c r="CF519" s="72"/>
      <c r="CG519" s="72"/>
      <c r="CH519" s="72"/>
      <c r="CI519" s="72"/>
      <c r="CJ519" s="72"/>
      <c r="CK519" s="72"/>
      <c r="CL519" s="72"/>
      <c r="CM519" s="72"/>
      <c r="CN519" s="72"/>
      <c r="CO519" s="72"/>
      <c r="CP519" s="72"/>
      <c r="CQ519" s="72"/>
      <c r="CR519" s="72"/>
      <c r="CS519" s="72"/>
    </row>
    <row r="520" spans="2:97" ht="13.2">
      <c r="B520" s="1867" t="s">
        <v>745</v>
      </c>
      <c r="C520" s="1868"/>
      <c r="D520" s="1868"/>
      <c r="E520" s="1868"/>
      <c r="F520" s="1868"/>
      <c r="G520" s="1868"/>
      <c r="H520" s="1869"/>
      <c r="I520" s="86" t="s">
        <v>746</v>
      </c>
      <c r="J520" s="86"/>
      <c r="K520" s="86"/>
      <c r="L520" s="86"/>
      <c r="M520" s="86"/>
      <c r="N520" s="86"/>
      <c r="O520" s="86"/>
      <c r="P520" s="86"/>
      <c r="Q520" s="86"/>
      <c r="R520" s="86"/>
      <c r="S520" s="86"/>
      <c r="T520" s="86"/>
      <c r="U520" s="86"/>
      <c r="V520" s="86"/>
      <c r="W520" s="86"/>
      <c r="X520" s="35"/>
      <c r="Y520" s="35"/>
      <c r="AC520" s="1865">
        <v>3</v>
      </c>
      <c r="AD520" s="1866"/>
      <c r="AE520" s="1866"/>
      <c r="AF520" s="1866"/>
      <c r="AG520" s="89" t="s">
        <v>276</v>
      </c>
      <c r="AH520" s="1757">
        <v>2021</v>
      </c>
      <c r="AI520" s="1757"/>
      <c r="AJ520" s="1757"/>
      <c r="AK520" s="1758"/>
      <c r="AM520" s="72"/>
      <c r="AN520" s="72"/>
      <c r="AO520" s="72"/>
      <c r="AP520" s="72"/>
      <c r="AQ520" s="72"/>
      <c r="AR520" s="72"/>
      <c r="AS520" s="72"/>
      <c r="AT520" s="72"/>
      <c r="AU520" s="72"/>
      <c r="AV520" s="72"/>
      <c r="AW520" s="72"/>
      <c r="AX520" s="72"/>
      <c r="AY520" s="72"/>
      <c r="AZ520" s="72"/>
      <c r="BA520" s="72"/>
      <c r="BB520" s="72"/>
      <c r="BC520" s="72"/>
      <c r="BD520" s="72"/>
      <c r="BE520" s="72"/>
      <c r="BF520" s="72"/>
      <c r="BG520" s="72"/>
      <c r="BH520" s="72"/>
      <c r="BI520" s="72"/>
      <c r="BJ520" s="72"/>
      <c r="BK520" s="72"/>
      <c r="BL520" s="72"/>
      <c r="BM520" s="72"/>
      <c r="BN520" s="72"/>
      <c r="BO520" s="72"/>
      <c r="BP520" s="72"/>
      <c r="BQ520" s="72"/>
      <c r="BR520" s="72"/>
      <c r="BS520" s="72"/>
      <c r="BT520" s="72"/>
      <c r="BU520" s="72"/>
      <c r="BV520" s="72"/>
      <c r="BW520" s="72"/>
      <c r="BX520" s="72"/>
      <c r="BY520" s="72"/>
      <c r="BZ520" s="72"/>
      <c r="CA520" s="72"/>
      <c r="CB520" s="72"/>
      <c r="CC520" s="72"/>
      <c r="CD520" s="72"/>
      <c r="CE520" s="72"/>
      <c r="CF520" s="72"/>
      <c r="CG520" s="72"/>
      <c r="CH520" s="72"/>
      <c r="CI520" s="72"/>
      <c r="CJ520" s="72"/>
      <c r="CK520" s="72"/>
      <c r="CL520" s="72"/>
      <c r="CM520" s="72"/>
      <c r="CN520" s="72"/>
      <c r="CO520" s="72"/>
      <c r="CP520" s="72"/>
      <c r="CQ520" s="72"/>
      <c r="CR520" s="72"/>
      <c r="CS520" s="72"/>
    </row>
    <row r="521" spans="2:97" ht="13.2">
      <c r="B521" s="1870"/>
      <c r="C521" s="1871"/>
      <c r="D521" s="1871"/>
      <c r="E521" s="1871"/>
      <c r="F521" s="1871"/>
      <c r="G521" s="1871"/>
      <c r="H521" s="1872"/>
      <c r="I521" s="35" t="s">
        <v>747</v>
      </c>
      <c r="J521" s="35"/>
      <c r="K521" s="35"/>
      <c r="L521" s="35"/>
      <c r="M521" s="35"/>
      <c r="N521" s="35"/>
      <c r="O521" s="35"/>
      <c r="P521" s="35"/>
      <c r="Q521" s="35"/>
      <c r="R521" s="35"/>
      <c r="S521" s="35"/>
      <c r="T521" s="35"/>
      <c r="U521" s="35"/>
      <c r="V521" s="35"/>
      <c r="W521" s="35"/>
      <c r="X521" s="35"/>
      <c r="Y521" s="35"/>
      <c r="AC521" s="1865">
        <v>3</v>
      </c>
      <c r="AD521" s="1866"/>
      <c r="AE521" s="1866"/>
      <c r="AF521" s="1866"/>
      <c r="AG521" s="89" t="s">
        <v>276</v>
      </c>
      <c r="AH521" s="1757">
        <v>2021</v>
      </c>
      <c r="AI521" s="1757"/>
      <c r="AJ521" s="1757"/>
      <c r="AK521" s="1758"/>
      <c r="AM521" s="72"/>
      <c r="AN521" s="72"/>
      <c r="AO521" s="72"/>
      <c r="AP521" s="72"/>
      <c r="AQ521" s="72"/>
      <c r="AR521" s="72"/>
      <c r="AS521" s="72"/>
      <c r="AT521" s="72"/>
      <c r="AU521" s="72"/>
      <c r="AV521" s="72"/>
      <c r="AW521" s="72"/>
      <c r="AX521" s="72"/>
      <c r="AY521" s="72"/>
      <c r="AZ521" s="72"/>
      <c r="BA521" s="72"/>
      <c r="BB521" s="72"/>
      <c r="BC521" s="72"/>
      <c r="BD521" s="72"/>
      <c r="BE521" s="72"/>
      <c r="BF521" s="72"/>
      <c r="BG521" s="72"/>
      <c r="BH521" s="72"/>
      <c r="BI521" s="72"/>
      <c r="BJ521" s="72"/>
      <c r="BK521" s="72"/>
      <c r="BL521" s="72"/>
      <c r="BM521" s="72"/>
      <c r="BN521" s="72"/>
      <c r="BO521" s="72"/>
      <c r="BP521" s="72"/>
      <c r="BQ521" s="72"/>
      <c r="BR521" s="72"/>
      <c r="BS521" s="72"/>
      <c r="BT521" s="72"/>
      <c r="BU521" s="72"/>
      <c r="BV521" s="72"/>
      <c r="BW521" s="72"/>
      <c r="BX521" s="72"/>
      <c r="BY521" s="72"/>
      <c r="BZ521" s="72"/>
      <c r="CA521" s="72"/>
      <c r="CB521" s="72"/>
      <c r="CC521" s="72"/>
      <c r="CD521" s="72"/>
      <c r="CE521" s="72"/>
      <c r="CF521" s="72"/>
      <c r="CG521" s="72"/>
      <c r="CH521" s="72"/>
      <c r="CI521" s="72"/>
      <c r="CJ521" s="72"/>
      <c r="CK521" s="72"/>
      <c r="CL521" s="72"/>
      <c r="CM521" s="72"/>
      <c r="CN521" s="72"/>
      <c r="CO521" s="72"/>
      <c r="CP521" s="72"/>
      <c r="CQ521" s="72"/>
      <c r="CR521" s="72"/>
      <c r="CS521" s="72"/>
    </row>
    <row r="522" spans="2:97" ht="13.2">
      <c r="B522" s="1870"/>
      <c r="C522" s="1871"/>
      <c r="D522" s="1871"/>
      <c r="E522" s="1871"/>
      <c r="F522" s="1871"/>
      <c r="G522" s="1871"/>
      <c r="H522" s="1872"/>
      <c r="I522" s="94" t="s">
        <v>748</v>
      </c>
      <c r="J522" s="94"/>
      <c r="K522" s="94"/>
      <c r="L522" s="94"/>
      <c r="M522" s="94"/>
      <c r="N522" s="94"/>
      <c r="O522" s="94"/>
      <c r="P522" s="94"/>
      <c r="Q522" s="94"/>
      <c r="R522" s="94"/>
      <c r="S522" s="94"/>
      <c r="T522" s="94"/>
      <c r="U522" s="94"/>
      <c r="V522" s="94"/>
      <c r="W522" s="94"/>
      <c r="X522" s="94"/>
      <c r="Y522" s="94"/>
      <c r="Z522" s="94"/>
      <c r="AA522" s="94"/>
      <c r="AB522" s="94"/>
      <c r="AC522" s="1865">
        <v>12</v>
      </c>
      <c r="AD522" s="1866"/>
      <c r="AE522" s="1866"/>
      <c r="AF522" s="1866"/>
      <c r="AG522" s="79" t="s">
        <v>276</v>
      </c>
      <c r="AH522" s="1757">
        <v>2021</v>
      </c>
      <c r="AI522" s="1757"/>
      <c r="AJ522" s="1757"/>
      <c r="AK522" s="1758"/>
      <c r="AM522" s="72"/>
      <c r="AN522" s="72"/>
      <c r="AO522" s="72"/>
      <c r="AP522" s="72"/>
      <c r="AQ522" s="72"/>
      <c r="AR522" s="72"/>
      <c r="AS522" s="72"/>
      <c r="AT522" s="72"/>
      <c r="AU522" s="72"/>
      <c r="AV522" s="72"/>
      <c r="AW522" s="72"/>
      <c r="AX522" s="72"/>
      <c r="AY522" s="72"/>
      <c r="AZ522" s="72"/>
      <c r="BA522" s="72"/>
      <c r="BB522" s="72"/>
      <c r="BC522" s="72"/>
      <c r="BD522" s="72"/>
      <c r="BE522" s="72"/>
      <c r="BF522" s="72"/>
      <c r="BG522" s="72"/>
      <c r="BH522" s="72"/>
      <c r="BI522" s="72"/>
      <c r="BJ522" s="72"/>
      <c r="BK522" s="72"/>
      <c r="BL522" s="72"/>
      <c r="BM522" s="72"/>
      <c r="BN522" s="72"/>
      <c r="BO522" s="72"/>
      <c r="BP522" s="72"/>
      <c r="BQ522" s="72"/>
      <c r="BR522" s="72"/>
      <c r="BS522" s="72"/>
      <c r="BT522" s="72"/>
      <c r="BU522" s="72"/>
      <c r="BV522" s="72"/>
      <c r="BW522" s="72"/>
      <c r="BX522" s="72"/>
      <c r="BY522" s="72"/>
      <c r="BZ522" s="72"/>
      <c r="CA522" s="72"/>
      <c r="CB522" s="72"/>
      <c r="CC522" s="72"/>
      <c r="CD522" s="72"/>
      <c r="CE522" s="72"/>
      <c r="CF522" s="72"/>
      <c r="CG522" s="72"/>
      <c r="CH522" s="72"/>
      <c r="CI522" s="72"/>
      <c r="CJ522" s="72"/>
      <c r="CK522" s="72"/>
      <c r="CL522" s="72"/>
      <c r="CM522" s="72"/>
      <c r="CN522" s="72"/>
      <c r="CO522" s="72"/>
      <c r="CP522" s="72"/>
      <c r="CQ522" s="72"/>
      <c r="CR522" s="72"/>
      <c r="CS522" s="72"/>
    </row>
    <row r="523" spans="2:97" ht="13.2">
      <c r="B523" s="1867" t="s">
        <v>749</v>
      </c>
      <c r="C523" s="1868"/>
      <c r="D523" s="1868"/>
      <c r="E523" s="1868"/>
      <c r="F523" s="1868"/>
      <c r="G523" s="1868"/>
      <c r="H523" s="1869"/>
      <c r="I523" s="86" t="s">
        <v>746</v>
      </c>
      <c r="J523" s="86"/>
      <c r="K523" s="86"/>
      <c r="L523" s="86"/>
      <c r="M523" s="86"/>
      <c r="N523" s="86"/>
      <c r="O523" s="86"/>
      <c r="P523" s="86"/>
      <c r="Q523" s="86"/>
      <c r="R523" s="86"/>
      <c r="S523" s="86"/>
      <c r="T523" s="86"/>
      <c r="U523" s="86"/>
      <c r="V523" s="86"/>
      <c r="W523" s="86"/>
      <c r="X523" s="86"/>
      <c r="Y523" s="86"/>
      <c r="Z523" s="86"/>
      <c r="AA523" s="86"/>
      <c r="AB523" s="86"/>
      <c r="AC523" s="1876" t="s">
        <v>136</v>
      </c>
      <c r="AD523" s="1877"/>
      <c r="AE523" s="1877"/>
      <c r="AF523" s="1877"/>
      <c r="AG523" s="360" t="s">
        <v>276</v>
      </c>
      <c r="AH523" s="1757"/>
      <c r="AI523" s="1757"/>
      <c r="AJ523" s="1757"/>
      <c r="AK523" s="1758"/>
      <c r="AM523" s="72"/>
      <c r="AN523" s="72"/>
      <c r="AO523" s="72"/>
      <c r="AP523" s="72"/>
      <c r="AQ523" s="72"/>
      <c r="AR523" s="72"/>
      <c r="AS523" s="72"/>
      <c r="AT523" s="72"/>
      <c r="AU523" s="72"/>
      <c r="AV523" s="72"/>
      <c r="AW523" s="72"/>
      <c r="AX523" s="72"/>
      <c r="AY523" s="72"/>
      <c r="AZ523" s="72"/>
      <c r="BA523" s="72"/>
      <c r="BB523" s="72"/>
      <c r="BC523" s="72"/>
      <c r="BD523" s="72"/>
      <c r="BE523" s="72"/>
      <c r="BF523" s="72"/>
      <c r="BG523" s="72"/>
      <c r="BH523" s="72"/>
      <c r="BI523" s="72"/>
      <c r="BJ523" s="72"/>
      <c r="BK523" s="72"/>
      <c r="BL523" s="72"/>
      <c r="BM523" s="72"/>
      <c r="BN523" s="72"/>
      <c r="BO523" s="72"/>
      <c r="BP523" s="72"/>
      <c r="BQ523" s="72"/>
      <c r="BR523" s="72"/>
      <c r="BS523" s="72"/>
      <c r="BT523" s="72"/>
      <c r="BU523" s="72"/>
      <c r="BV523" s="72"/>
      <c r="BW523" s="72"/>
      <c r="BX523" s="72"/>
      <c r="BY523" s="72"/>
      <c r="BZ523" s="72"/>
      <c r="CA523" s="72"/>
      <c r="CB523" s="72"/>
      <c r="CC523" s="72"/>
      <c r="CD523" s="72"/>
      <c r="CE523" s="72"/>
      <c r="CF523" s="72"/>
      <c r="CG523" s="72"/>
      <c r="CH523" s="72"/>
      <c r="CI523" s="72"/>
      <c r="CJ523" s="72"/>
      <c r="CK523" s="72"/>
      <c r="CL523" s="72"/>
      <c r="CM523" s="72"/>
      <c r="CN523" s="72"/>
      <c r="CO523" s="72"/>
      <c r="CP523" s="72"/>
      <c r="CQ523" s="72"/>
      <c r="CR523" s="72"/>
      <c r="CS523" s="72"/>
    </row>
    <row r="524" spans="2:97" ht="13.2">
      <c r="B524" s="1870"/>
      <c r="C524" s="1871"/>
      <c r="D524" s="1871"/>
      <c r="E524" s="1871"/>
      <c r="F524" s="1871"/>
      <c r="G524" s="1871"/>
      <c r="H524" s="1872"/>
      <c r="I524" s="35" t="s">
        <v>747</v>
      </c>
      <c r="J524" s="35"/>
      <c r="K524" s="35"/>
      <c r="L524" s="35"/>
      <c r="M524" s="35"/>
      <c r="N524" s="35"/>
      <c r="O524" s="35"/>
      <c r="P524" s="35"/>
      <c r="Q524" s="35"/>
      <c r="R524" s="35"/>
      <c r="S524" s="35"/>
      <c r="T524" s="35"/>
      <c r="U524" s="35"/>
      <c r="V524" s="35"/>
      <c r="W524" s="35"/>
      <c r="X524" s="35"/>
      <c r="Y524" s="35"/>
      <c r="Z524" s="35"/>
      <c r="AA524" s="35"/>
      <c r="AB524" s="35"/>
      <c r="AC524" s="1865" t="s">
        <v>136</v>
      </c>
      <c r="AD524" s="1866"/>
      <c r="AE524" s="1866"/>
      <c r="AF524" s="1866"/>
      <c r="AG524" s="89" t="s">
        <v>276</v>
      </c>
      <c r="AH524" s="1757"/>
      <c r="AI524" s="1757"/>
      <c r="AJ524" s="1757"/>
      <c r="AK524" s="1758"/>
      <c r="AM524" s="72"/>
      <c r="AN524" s="72"/>
      <c r="AO524" s="72"/>
      <c r="AP524" s="72"/>
      <c r="AQ524" s="72"/>
      <c r="AR524" s="72"/>
      <c r="AS524" s="72"/>
      <c r="AT524" s="72"/>
      <c r="AU524" s="72"/>
      <c r="AV524" s="72"/>
      <c r="AW524" s="72"/>
      <c r="AX524" s="72"/>
      <c r="AY524" s="72"/>
      <c r="AZ524" s="72"/>
      <c r="BA524" s="72"/>
      <c r="BB524" s="72"/>
      <c r="BC524" s="72"/>
      <c r="BD524" s="72"/>
      <c r="BE524" s="72"/>
      <c r="BF524" s="72"/>
      <c r="BG524" s="72"/>
      <c r="BH524" s="72"/>
      <c r="BI524" s="72"/>
      <c r="BJ524" s="72"/>
      <c r="BK524" s="72"/>
      <c r="BL524" s="72"/>
      <c r="BM524" s="72"/>
      <c r="BN524" s="72"/>
      <c r="BO524" s="72"/>
      <c r="BP524" s="72"/>
      <c r="BQ524" s="72"/>
      <c r="BR524" s="72"/>
      <c r="BS524" s="72"/>
      <c r="BT524" s="72"/>
      <c r="BU524" s="72"/>
      <c r="BV524" s="72"/>
      <c r="BW524" s="72"/>
      <c r="BX524" s="72"/>
      <c r="BY524" s="72"/>
      <c r="BZ524" s="72"/>
      <c r="CA524" s="72"/>
      <c r="CB524" s="72"/>
      <c r="CC524" s="72"/>
      <c r="CD524" s="72"/>
      <c r="CE524" s="72"/>
      <c r="CF524" s="72"/>
      <c r="CG524" s="72"/>
      <c r="CH524" s="72"/>
      <c r="CI524" s="72"/>
      <c r="CJ524" s="72"/>
      <c r="CK524" s="72"/>
      <c r="CL524" s="72"/>
      <c r="CM524" s="72"/>
      <c r="CN524" s="72"/>
      <c r="CO524" s="72"/>
      <c r="CP524" s="72"/>
      <c r="CQ524" s="72"/>
      <c r="CR524" s="72"/>
      <c r="CS524" s="72"/>
    </row>
    <row r="525" spans="2:97" ht="13.2">
      <c r="B525" s="1873"/>
      <c r="C525" s="1874"/>
      <c r="D525" s="1874"/>
      <c r="E525" s="1874"/>
      <c r="F525" s="1874"/>
      <c r="G525" s="1874"/>
      <c r="H525" s="1875"/>
      <c r="I525" s="94" t="s">
        <v>748</v>
      </c>
      <c r="J525" s="94"/>
      <c r="K525" s="94"/>
      <c r="L525" s="94"/>
      <c r="M525" s="94"/>
      <c r="N525" s="94"/>
      <c r="O525" s="94"/>
      <c r="P525" s="94"/>
      <c r="Q525" s="94"/>
      <c r="R525" s="94"/>
      <c r="S525" s="94"/>
      <c r="T525" s="94"/>
      <c r="U525" s="94"/>
      <c r="V525" s="94"/>
      <c r="W525" s="94"/>
      <c r="X525" s="94"/>
      <c r="Y525" s="94"/>
      <c r="Z525" s="94"/>
      <c r="AA525" s="94"/>
      <c r="AB525" s="94"/>
      <c r="AC525" s="1865" t="s">
        <v>136</v>
      </c>
      <c r="AD525" s="1866"/>
      <c r="AE525" s="1866"/>
      <c r="AF525" s="1866"/>
      <c r="AG525" s="79" t="s">
        <v>276</v>
      </c>
      <c r="AH525" s="1757"/>
      <c r="AI525" s="1757"/>
      <c r="AJ525" s="1757"/>
      <c r="AK525" s="1758"/>
      <c r="AM525" s="72"/>
      <c r="AN525" s="72"/>
      <c r="AO525" s="72"/>
      <c r="AP525" s="72"/>
      <c r="AQ525" s="72"/>
      <c r="AR525" s="72"/>
      <c r="AS525" s="72"/>
      <c r="AT525" s="72"/>
      <c r="AU525" s="72"/>
      <c r="AV525" s="72"/>
      <c r="AW525" s="72"/>
      <c r="AX525" s="72"/>
      <c r="AY525" s="72"/>
      <c r="AZ525" s="72"/>
      <c r="BA525" s="72"/>
      <c r="BB525" s="72"/>
      <c r="BC525" s="72"/>
      <c r="BD525" s="72"/>
      <c r="BE525" s="72"/>
      <c r="BF525" s="72"/>
      <c r="BG525" s="72"/>
      <c r="BH525" s="72"/>
      <c r="BI525" s="72"/>
      <c r="BJ525" s="72"/>
      <c r="BK525" s="72"/>
      <c r="BL525" s="72"/>
      <c r="BM525" s="72"/>
      <c r="BN525" s="72"/>
      <c r="BO525" s="72"/>
      <c r="BP525" s="72"/>
      <c r="BQ525" s="72"/>
      <c r="BR525" s="72"/>
      <c r="BS525" s="72"/>
      <c r="BT525" s="72"/>
      <c r="BU525" s="72"/>
      <c r="BV525" s="72"/>
      <c r="BW525" s="72"/>
      <c r="BX525" s="72"/>
      <c r="BY525" s="72"/>
      <c r="BZ525" s="72"/>
      <c r="CA525" s="72"/>
      <c r="CB525" s="72"/>
      <c r="CC525" s="72"/>
      <c r="CD525" s="72"/>
      <c r="CE525" s="72"/>
      <c r="CF525" s="72"/>
      <c r="CG525" s="72"/>
      <c r="CH525" s="72"/>
      <c r="CI525" s="72"/>
      <c r="CJ525" s="72"/>
      <c r="CK525" s="72"/>
      <c r="CL525" s="72"/>
      <c r="CM525" s="72"/>
      <c r="CN525" s="72"/>
      <c r="CO525" s="72"/>
      <c r="CP525" s="72"/>
      <c r="CQ525" s="72"/>
      <c r="CR525" s="72"/>
      <c r="CS525" s="72"/>
    </row>
    <row r="526" spans="2:97" ht="13.2">
      <c r="B526" s="1867" t="s">
        <v>750</v>
      </c>
      <c r="C526" s="1868"/>
      <c r="D526" s="1868"/>
      <c r="E526" s="1868"/>
      <c r="F526" s="1868"/>
      <c r="G526" s="1868"/>
      <c r="H526" s="1869"/>
      <c r="I526" s="85" t="s">
        <v>751</v>
      </c>
      <c r="J526" s="86"/>
      <c r="K526" s="86"/>
      <c r="L526" s="86"/>
      <c r="M526" s="86"/>
      <c r="N526" s="86"/>
      <c r="O526" s="1797" t="s">
        <v>2413</v>
      </c>
      <c r="P526" s="1796"/>
      <c r="Q526" s="1796"/>
      <c r="R526" s="1796"/>
      <c r="S526" s="1796"/>
      <c r="T526" s="1796"/>
      <c r="U526" s="1796"/>
      <c r="V526" s="1796"/>
      <c r="W526" s="1796"/>
      <c r="X526" s="1796"/>
      <c r="Y526" s="1796"/>
      <c r="Z526" s="1796"/>
      <c r="AA526" s="1796"/>
      <c r="AB526" s="108"/>
      <c r="AC526" s="1876" t="s">
        <v>136</v>
      </c>
      <c r="AD526" s="1877"/>
      <c r="AE526" s="1877"/>
      <c r="AF526" s="1877"/>
      <c r="AG526" s="360" t="s">
        <v>276</v>
      </c>
      <c r="AH526" s="1757"/>
      <c r="AI526" s="1757"/>
      <c r="AJ526" s="1757"/>
      <c r="AK526" s="1758"/>
      <c r="AM526" s="72"/>
      <c r="AN526" s="72"/>
      <c r="AO526" s="72"/>
      <c r="AP526" s="72"/>
      <c r="AQ526" s="72"/>
      <c r="AR526" s="72"/>
      <c r="AS526" s="72"/>
      <c r="AT526" s="72"/>
      <c r="AU526" s="72"/>
      <c r="AV526" s="72"/>
      <c r="AW526" s="72"/>
      <c r="AX526" s="72"/>
      <c r="AY526" s="72"/>
      <c r="AZ526" s="72"/>
      <c r="BA526" s="72"/>
      <c r="BB526" s="72"/>
      <c r="BC526" s="72"/>
      <c r="BD526" s="72"/>
      <c r="BE526" s="72"/>
      <c r="BF526" s="72"/>
      <c r="BG526" s="72"/>
      <c r="BH526" s="72"/>
      <c r="BI526" s="72"/>
      <c r="BJ526" s="72"/>
      <c r="BK526" s="72"/>
      <c r="BL526" s="72"/>
      <c r="BM526" s="72"/>
      <c r="BN526" s="72"/>
      <c r="BO526" s="72"/>
      <c r="BP526" s="72"/>
      <c r="BQ526" s="72"/>
      <c r="BR526" s="72"/>
      <c r="BS526" s="72"/>
      <c r="BT526" s="72"/>
      <c r="BU526" s="72"/>
      <c r="BV526" s="72"/>
      <c r="BW526" s="72"/>
      <c r="BX526" s="72"/>
      <c r="BY526" s="72"/>
      <c r="BZ526" s="72"/>
      <c r="CA526" s="72"/>
      <c r="CB526" s="72"/>
      <c r="CC526" s="72"/>
      <c r="CD526" s="72"/>
      <c r="CE526" s="72"/>
      <c r="CF526" s="72"/>
      <c r="CG526" s="72"/>
      <c r="CH526" s="72"/>
      <c r="CI526" s="72"/>
      <c r="CJ526" s="72"/>
      <c r="CK526" s="72"/>
      <c r="CL526" s="72"/>
      <c r="CM526" s="72"/>
      <c r="CN526" s="72"/>
      <c r="CO526" s="72"/>
      <c r="CP526" s="72"/>
      <c r="CQ526" s="72"/>
      <c r="CR526" s="72"/>
      <c r="CS526" s="72"/>
    </row>
    <row r="527" spans="2:97" ht="13.2">
      <c r="B527" s="1870"/>
      <c r="C527" s="1871"/>
      <c r="D527" s="1871"/>
      <c r="E527" s="1871"/>
      <c r="F527" s="1871"/>
      <c r="G527" s="1871"/>
      <c r="H527" s="1872"/>
      <c r="I527" s="317" t="s">
        <v>752</v>
      </c>
      <c r="J527" s="35"/>
      <c r="K527" s="35"/>
      <c r="L527" s="35"/>
      <c r="M527" s="35"/>
      <c r="N527" s="35"/>
      <c r="O527" s="35"/>
      <c r="P527" s="35"/>
      <c r="Q527" s="35"/>
      <c r="R527" s="35"/>
      <c r="S527" s="35"/>
      <c r="T527" s="35"/>
      <c r="U527" s="35"/>
      <c r="V527" s="35"/>
      <c r="W527" s="35"/>
      <c r="X527" s="35"/>
      <c r="Y527" s="35"/>
      <c r="Z527" s="35"/>
      <c r="AA527" s="35"/>
      <c r="AB527" s="115"/>
      <c r="AC527" s="1865">
        <v>1</v>
      </c>
      <c r="AD527" s="1866"/>
      <c r="AE527" s="1866"/>
      <c r="AF527" s="1866"/>
      <c r="AG527" s="89" t="s">
        <v>276</v>
      </c>
      <c r="AH527" s="1757">
        <v>2020</v>
      </c>
      <c r="AI527" s="1757"/>
      <c r="AJ527" s="1757"/>
      <c r="AK527" s="1758"/>
      <c r="AM527" s="72"/>
      <c r="AN527" s="72"/>
      <c r="AO527" s="72"/>
      <c r="AP527" s="72"/>
      <c r="AQ527" s="72"/>
      <c r="AR527" s="72"/>
      <c r="AS527" s="72"/>
      <c r="AT527" s="72"/>
      <c r="AU527" s="72"/>
      <c r="AV527" s="72"/>
      <c r="AW527" s="72"/>
      <c r="AX527" s="72"/>
      <c r="AY527" s="72"/>
      <c r="AZ527" s="72"/>
      <c r="BA527" s="72"/>
      <c r="BB527" s="72"/>
      <c r="BC527" s="72"/>
      <c r="BD527" s="72"/>
      <c r="BE527" s="72"/>
      <c r="BF527" s="72"/>
      <c r="BG527" s="72"/>
      <c r="BH527" s="72"/>
      <c r="BI527" s="72"/>
      <c r="BJ527" s="72"/>
      <c r="BK527" s="72"/>
      <c r="BL527" s="72"/>
      <c r="BM527" s="72"/>
      <c r="BN527" s="72"/>
      <c r="BO527" s="72"/>
      <c r="BP527" s="72"/>
      <c r="BQ527" s="72"/>
      <c r="BR527" s="72"/>
      <c r="BS527" s="72"/>
      <c r="BT527" s="72"/>
      <c r="BU527" s="72"/>
      <c r="BV527" s="72"/>
      <c r="BW527" s="72"/>
      <c r="BX527" s="72"/>
      <c r="BY527" s="72"/>
      <c r="BZ527" s="72"/>
      <c r="CA527" s="72"/>
      <c r="CB527" s="72"/>
      <c r="CC527" s="72"/>
      <c r="CD527" s="72"/>
      <c r="CE527" s="72"/>
      <c r="CF527" s="72"/>
      <c r="CG527" s="72"/>
      <c r="CH527" s="72"/>
      <c r="CI527" s="72"/>
      <c r="CJ527" s="72"/>
      <c r="CK527" s="72"/>
      <c r="CL527" s="72"/>
      <c r="CM527" s="72"/>
      <c r="CN527" s="72"/>
      <c r="CO527" s="72"/>
      <c r="CP527" s="72"/>
      <c r="CQ527" s="72"/>
      <c r="CR527" s="72"/>
      <c r="CS527" s="72"/>
    </row>
    <row r="528" spans="2:97" ht="13.2">
      <c r="B528" s="1870"/>
      <c r="C528" s="1871"/>
      <c r="D528" s="1871"/>
      <c r="E528" s="1871"/>
      <c r="F528" s="1871"/>
      <c r="G528" s="1871"/>
      <c r="H528" s="1872"/>
      <c r="I528" s="93" t="s">
        <v>753</v>
      </c>
      <c r="J528" s="94"/>
      <c r="K528" s="94"/>
      <c r="L528" s="94"/>
      <c r="M528" s="94"/>
      <c r="N528" s="94"/>
      <c r="O528" s="94"/>
      <c r="P528" s="94"/>
      <c r="Q528" s="94"/>
      <c r="R528" s="94"/>
      <c r="S528" s="94"/>
      <c r="T528" s="94"/>
      <c r="U528" s="94"/>
      <c r="V528" s="94"/>
      <c r="W528" s="94"/>
      <c r="X528" s="94"/>
      <c r="Y528" s="94"/>
      <c r="Z528" s="94"/>
      <c r="AA528" s="94"/>
      <c r="AB528" s="95"/>
      <c r="AC528" s="1865">
        <v>6</v>
      </c>
      <c r="AD528" s="1866"/>
      <c r="AE528" s="1866"/>
      <c r="AF528" s="1866"/>
      <c r="AG528" s="79" t="s">
        <v>276</v>
      </c>
      <c r="AH528" s="1757">
        <v>2020</v>
      </c>
      <c r="AI528" s="1757"/>
      <c r="AJ528" s="1757"/>
      <c r="AK528" s="1758"/>
      <c r="AM528" s="72"/>
      <c r="AN528" s="72"/>
      <c r="AO528" s="72"/>
      <c r="AP528" s="72"/>
      <c r="AQ528" s="72"/>
      <c r="AR528" s="72"/>
      <c r="AS528" s="72"/>
      <c r="AT528" s="72"/>
      <c r="AU528" s="72"/>
      <c r="AV528" s="72"/>
      <c r="AW528" s="72"/>
      <c r="AX528" s="72"/>
      <c r="AY528" s="72"/>
      <c r="AZ528" s="72"/>
      <c r="BA528" s="72"/>
      <c r="BB528" s="72"/>
      <c r="BC528" s="72"/>
      <c r="BD528" s="72"/>
      <c r="BE528" s="72"/>
      <c r="BF528" s="72"/>
      <c r="BG528" s="72"/>
      <c r="BH528" s="72"/>
      <c r="BI528" s="72"/>
      <c r="BJ528" s="72"/>
      <c r="BK528" s="72"/>
      <c r="BL528" s="72"/>
      <c r="BM528" s="72"/>
      <c r="BN528" s="72"/>
      <c r="BO528" s="72"/>
      <c r="BP528" s="72"/>
      <c r="BQ528" s="72"/>
      <c r="BR528" s="72"/>
      <c r="BS528" s="72"/>
      <c r="BT528" s="72"/>
      <c r="BU528" s="72"/>
      <c r="BV528" s="72"/>
      <c r="BW528" s="72"/>
      <c r="BX528" s="72"/>
      <c r="BY528" s="72"/>
      <c r="BZ528" s="72"/>
      <c r="CA528" s="72"/>
      <c r="CB528" s="72"/>
      <c r="CC528" s="72"/>
      <c r="CD528" s="72"/>
      <c r="CE528" s="72"/>
      <c r="CF528" s="72"/>
      <c r="CG528" s="72"/>
      <c r="CH528" s="72"/>
      <c r="CI528" s="72"/>
      <c r="CJ528" s="72"/>
      <c r="CK528" s="72"/>
      <c r="CL528" s="72"/>
      <c r="CM528" s="72"/>
      <c r="CN528" s="72"/>
      <c r="CO528" s="72"/>
      <c r="CP528" s="72"/>
      <c r="CQ528" s="72"/>
      <c r="CR528" s="72"/>
      <c r="CS528" s="72"/>
    </row>
    <row r="529" spans="2:97" ht="13.2">
      <c r="B529" s="1870"/>
      <c r="C529" s="1871"/>
      <c r="D529" s="1871"/>
      <c r="E529" s="1871"/>
      <c r="F529" s="1871"/>
      <c r="G529" s="1871"/>
      <c r="H529" s="1872"/>
      <c r="I529" s="86" t="s">
        <v>754</v>
      </c>
      <c r="J529" s="86"/>
      <c r="K529" s="86"/>
      <c r="L529" s="86"/>
      <c r="M529" s="86"/>
      <c r="N529" s="86"/>
      <c r="O529" s="1787" t="s">
        <v>2414</v>
      </c>
      <c r="P529" s="1788"/>
      <c r="Q529" s="1788"/>
      <c r="R529" s="1788"/>
      <c r="S529" s="1788"/>
      <c r="T529" s="1788"/>
      <c r="U529" s="1788"/>
      <c r="V529" s="1788"/>
      <c r="W529" s="1788"/>
      <c r="X529" s="1788"/>
      <c r="Y529" s="1788"/>
      <c r="Z529" s="1788"/>
      <c r="AA529" s="1788"/>
      <c r="AC529" s="1865" t="s">
        <v>136</v>
      </c>
      <c r="AD529" s="1866"/>
      <c r="AE529" s="1866"/>
      <c r="AF529" s="1866"/>
      <c r="AG529" s="89" t="s">
        <v>276</v>
      </c>
      <c r="AH529" s="1757"/>
      <c r="AI529" s="1757"/>
      <c r="AJ529" s="1757"/>
      <c r="AK529" s="1758"/>
      <c r="AM529" s="72"/>
      <c r="AN529" s="72"/>
      <c r="AO529" s="72"/>
      <c r="AP529" s="72"/>
      <c r="AQ529" s="72"/>
      <c r="AR529" s="72"/>
      <c r="AS529" s="72"/>
      <c r="AT529" s="72"/>
      <c r="AU529" s="72"/>
      <c r="AV529" s="72"/>
      <c r="AW529" s="72"/>
      <c r="AX529" s="72"/>
      <c r="AY529" s="72"/>
      <c r="AZ529" s="72"/>
      <c r="BA529" s="72"/>
      <c r="BB529" s="72"/>
      <c r="BC529" s="72"/>
      <c r="BD529" s="72"/>
      <c r="BE529" s="72"/>
      <c r="BF529" s="72"/>
      <c r="BG529" s="72"/>
      <c r="BH529" s="72"/>
      <c r="BI529" s="72"/>
      <c r="BJ529" s="72"/>
      <c r="BK529" s="72"/>
      <c r="BL529" s="72"/>
      <c r="BM529" s="72"/>
      <c r="BN529" s="72"/>
      <c r="BO529" s="72"/>
      <c r="BP529" s="72"/>
      <c r="BQ529" s="72"/>
      <c r="BR529" s="72"/>
      <c r="BS529" s="72"/>
      <c r="BT529" s="72"/>
      <c r="BU529" s="72"/>
      <c r="BV529" s="72"/>
      <c r="BW529" s="72"/>
      <c r="BX529" s="72"/>
      <c r="BY529" s="72"/>
      <c r="BZ529" s="72"/>
      <c r="CA529" s="72"/>
      <c r="CB529" s="72"/>
      <c r="CC529" s="72"/>
      <c r="CD529" s="72"/>
      <c r="CE529" s="72"/>
      <c r="CF529" s="72"/>
      <c r="CG529" s="72"/>
      <c r="CH529" s="72"/>
      <c r="CI529" s="72"/>
      <c r="CJ529" s="72"/>
      <c r="CK529" s="72"/>
      <c r="CL529" s="72"/>
      <c r="CM529" s="72"/>
      <c r="CN529" s="72"/>
      <c r="CO529" s="72"/>
      <c r="CP529" s="72"/>
      <c r="CQ529" s="72"/>
      <c r="CR529" s="72"/>
      <c r="CS529" s="72"/>
    </row>
    <row r="530" spans="2:97" ht="13.2">
      <c r="B530" s="1870"/>
      <c r="C530" s="1871"/>
      <c r="D530" s="1871"/>
      <c r="E530" s="1871"/>
      <c r="F530" s="1871"/>
      <c r="G530" s="1871"/>
      <c r="H530" s="1872"/>
      <c r="I530" s="35" t="s">
        <v>752</v>
      </c>
      <c r="J530" s="35"/>
      <c r="K530" s="35"/>
      <c r="L530" s="35"/>
      <c r="M530" s="35"/>
      <c r="N530" s="35"/>
      <c r="O530" s="35"/>
      <c r="P530" s="35"/>
      <c r="Q530" s="35"/>
      <c r="R530" s="35"/>
      <c r="S530" s="35"/>
      <c r="T530" s="35"/>
      <c r="U530" s="35"/>
      <c r="V530" s="35"/>
      <c r="W530" s="35"/>
      <c r="X530" s="35"/>
      <c r="Y530" s="35"/>
      <c r="AC530" s="1865">
        <v>10</v>
      </c>
      <c r="AD530" s="1866"/>
      <c r="AE530" s="1866"/>
      <c r="AF530" s="1866"/>
      <c r="AG530" s="89" t="s">
        <v>276</v>
      </c>
      <c r="AH530" s="1757">
        <v>2020</v>
      </c>
      <c r="AI530" s="1757"/>
      <c r="AJ530" s="1757"/>
      <c r="AK530" s="1758"/>
      <c r="AM530" s="72"/>
      <c r="AN530" s="72"/>
      <c r="AO530" s="72"/>
      <c r="AP530" s="72"/>
      <c r="AQ530" s="72"/>
      <c r="AR530" s="72"/>
      <c r="AS530" s="72"/>
      <c r="AT530" s="72"/>
      <c r="AU530" s="72"/>
      <c r="AV530" s="72"/>
      <c r="AW530" s="72"/>
      <c r="AX530" s="72"/>
      <c r="AY530" s="72"/>
      <c r="AZ530" s="72"/>
      <c r="BA530" s="72"/>
      <c r="BB530" s="72"/>
      <c r="BC530" s="72"/>
      <c r="BD530" s="72"/>
      <c r="BE530" s="72"/>
      <c r="BF530" s="72"/>
      <c r="BG530" s="72"/>
      <c r="BH530" s="72"/>
      <c r="BI530" s="72"/>
      <c r="BJ530" s="72"/>
      <c r="BK530" s="72"/>
      <c r="BL530" s="72"/>
      <c r="BM530" s="72"/>
      <c r="BN530" s="72"/>
      <c r="BO530" s="72"/>
      <c r="BP530" s="72"/>
      <c r="BQ530" s="72"/>
      <c r="BR530" s="72"/>
      <c r="BS530" s="72"/>
      <c r="BT530" s="72"/>
      <c r="BU530" s="72"/>
      <c r="BV530" s="72"/>
      <c r="BW530" s="72"/>
      <c r="BX530" s="72"/>
      <c r="BY530" s="72"/>
      <c r="BZ530" s="72"/>
      <c r="CA530" s="72"/>
      <c r="CB530" s="72"/>
      <c r="CC530" s="72"/>
      <c r="CD530" s="72"/>
      <c r="CE530" s="72"/>
      <c r="CF530" s="72"/>
      <c r="CG530" s="72"/>
      <c r="CH530" s="72"/>
      <c r="CI530" s="72"/>
      <c r="CJ530" s="72"/>
      <c r="CK530" s="72"/>
      <c r="CL530" s="72"/>
      <c r="CM530" s="72"/>
      <c r="CN530" s="72"/>
      <c r="CO530" s="72"/>
      <c r="CP530" s="72"/>
      <c r="CQ530" s="72"/>
      <c r="CR530" s="72"/>
      <c r="CS530" s="72"/>
    </row>
    <row r="531" spans="2:97" ht="13.2">
      <c r="B531" s="1870"/>
      <c r="C531" s="1871"/>
      <c r="D531" s="1871"/>
      <c r="E531" s="1871"/>
      <c r="F531" s="1871"/>
      <c r="G531" s="1871"/>
      <c r="H531" s="1872"/>
      <c r="I531" s="94" t="s">
        <v>753</v>
      </c>
      <c r="J531" s="94"/>
      <c r="K531" s="94"/>
      <c r="L531" s="94"/>
      <c r="M531" s="94"/>
      <c r="N531" s="94"/>
      <c r="O531" s="94"/>
      <c r="P531" s="94"/>
      <c r="Q531" s="94"/>
      <c r="R531" s="94"/>
      <c r="S531" s="94"/>
      <c r="T531" s="94"/>
      <c r="U531" s="94"/>
      <c r="V531" s="94"/>
      <c r="W531" s="94"/>
      <c r="X531" s="94"/>
      <c r="Y531" s="94"/>
      <c r="Z531" s="94"/>
      <c r="AA531" s="94"/>
      <c r="AB531" s="94"/>
      <c r="AC531" s="1865">
        <v>2</v>
      </c>
      <c r="AD531" s="1866"/>
      <c r="AE531" s="1866"/>
      <c r="AF531" s="1866"/>
      <c r="AG531" s="79" t="s">
        <v>276</v>
      </c>
      <c r="AH531" s="1757">
        <v>2021</v>
      </c>
      <c r="AI531" s="1757"/>
      <c r="AJ531" s="1757"/>
      <c r="AK531" s="1758"/>
      <c r="AM531" s="72"/>
      <c r="AN531" s="72"/>
      <c r="AO531" s="72"/>
      <c r="AP531" s="72"/>
      <c r="AQ531" s="72"/>
      <c r="AR531" s="72"/>
      <c r="AS531" s="72"/>
      <c r="AT531" s="72"/>
      <c r="AU531" s="72"/>
      <c r="AV531" s="72"/>
      <c r="AW531" s="72"/>
      <c r="AX531" s="72"/>
      <c r="AY531" s="72"/>
      <c r="AZ531" s="72"/>
      <c r="BA531" s="72"/>
      <c r="BB531" s="72"/>
      <c r="BC531" s="72"/>
      <c r="BD531" s="72"/>
      <c r="BE531" s="72"/>
      <c r="BF531" s="72"/>
      <c r="BG531" s="72"/>
      <c r="BH531" s="72"/>
      <c r="BI531" s="72"/>
      <c r="BJ531" s="72"/>
      <c r="BK531" s="72"/>
      <c r="BL531" s="72"/>
      <c r="BM531" s="72"/>
      <c r="BN531" s="72"/>
      <c r="BO531" s="72"/>
      <c r="BP531" s="72"/>
      <c r="BQ531" s="72"/>
      <c r="BR531" s="72"/>
      <c r="BS531" s="72"/>
      <c r="BT531" s="72"/>
      <c r="BU531" s="72"/>
      <c r="BV531" s="72"/>
      <c r="BW531" s="72"/>
      <c r="BX531" s="72"/>
      <c r="BY531" s="72"/>
      <c r="BZ531" s="72"/>
      <c r="CA531" s="72"/>
      <c r="CB531" s="72"/>
      <c r="CC531" s="72"/>
      <c r="CD531" s="72"/>
      <c r="CE531" s="72"/>
      <c r="CF531" s="72"/>
      <c r="CG531" s="72"/>
      <c r="CH531" s="72"/>
      <c r="CI531" s="72"/>
      <c r="CJ531" s="72"/>
      <c r="CK531" s="72"/>
      <c r="CL531" s="72"/>
      <c r="CM531" s="72"/>
      <c r="CN531" s="72"/>
      <c r="CO531" s="72"/>
      <c r="CP531" s="72"/>
      <c r="CQ531" s="72"/>
      <c r="CR531" s="72"/>
      <c r="CS531" s="72"/>
    </row>
    <row r="532" spans="2:97" ht="13.2">
      <c r="B532" s="1870"/>
      <c r="C532" s="1871"/>
      <c r="D532" s="1871"/>
      <c r="E532" s="1871"/>
      <c r="F532" s="1871"/>
      <c r="G532" s="1871"/>
      <c r="H532" s="1872"/>
      <c r="I532" s="86" t="s">
        <v>754</v>
      </c>
      <c r="J532" s="86"/>
      <c r="K532" s="86"/>
      <c r="L532" s="86"/>
      <c r="M532" s="86"/>
      <c r="N532" s="86"/>
      <c r="O532" s="1787" t="s">
        <v>2415</v>
      </c>
      <c r="P532" s="1788"/>
      <c r="Q532" s="1788"/>
      <c r="R532" s="1788"/>
      <c r="S532" s="1788"/>
      <c r="T532" s="1788"/>
      <c r="U532" s="1788"/>
      <c r="V532" s="1788"/>
      <c r="W532" s="1788"/>
      <c r="X532" s="1788"/>
      <c r="Y532" s="1788"/>
      <c r="Z532" s="1788"/>
      <c r="AA532" s="1788"/>
      <c r="AC532" s="1865" t="s">
        <v>136</v>
      </c>
      <c r="AD532" s="1866"/>
      <c r="AE532" s="1866"/>
      <c r="AF532" s="1866"/>
      <c r="AG532" s="89" t="s">
        <v>276</v>
      </c>
      <c r="AH532" s="1757"/>
      <c r="AI532" s="1757"/>
      <c r="AJ532" s="1757"/>
      <c r="AK532" s="1758"/>
      <c r="AM532" s="72"/>
      <c r="AN532" s="72"/>
      <c r="AO532" s="72"/>
      <c r="AP532" s="72"/>
      <c r="AQ532" s="72"/>
      <c r="AR532" s="72"/>
      <c r="AS532" s="72"/>
      <c r="AT532" s="72"/>
      <c r="AU532" s="72"/>
      <c r="AV532" s="72"/>
      <c r="AW532" s="72"/>
      <c r="AX532" s="72"/>
      <c r="AY532" s="72"/>
      <c r="AZ532" s="72"/>
      <c r="BA532" s="72"/>
      <c r="BB532" s="72"/>
      <c r="BC532" s="72"/>
      <c r="BD532" s="72"/>
      <c r="BE532" s="72"/>
      <c r="BF532" s="72"/>
      <c r="BG532" s="72"/>
      <c r="BH532" s="72"/>
      <c r="BI532" s="72"/>
      <c r="BJ532" s="72"/>
      <c r="BK532" s="72"/>
      <c r="BL532" s="72"/>
      <c r="BM532" s="72"/>
      <c r="BN532" s="72"/>
      <c r="BO532" s="72"/>
      <c r="BP532" s="72"/>
      <c r="BQ532" s="72"/>
      <c r="BR532" s="72"/>
      <c r="BS532" s="72"/>
      <c r="BT532" s="72"/>
      <c r="BU532" s="72"/>
      <c r="BV532" s="72"/>
      <c r="BW532" s="72"/>
      <c r="BX532" s="72"/>
      <c r="BY532" s="72"/>
      <c r="BZ532" s="72"/>
      <c r="CA532" s="72"/>
      <c r="CB532" s="72"/>
      <c r="CC532" s="72"/>
      <c r="CD532" s="72"/>
      <c r="CE532" s="72"/>
      <c r="CF532" s="72"/>
      <c r="CG532" s="72"/>
      <c r="CH532" s="72"/>
      <c r="CI532" s="72"/>
      <c r="CJ532" s="72"/>
      <c r="CK532" s="72"/>
      <c r="CL532" s="72"/>
      <c r="CM532" s="72"/>
      <c r="CN532" s="72"/>
      <c r="CO532" s="72"/>
      <c r="CP532" s="72"/>
      <c r="CQ532" s="72"/>
      <c r="CR532" s="72"/>
      <c r="CS532" s="72"/>
    </row>
    <row r="533" spans="2:97" ht="13.2">
      <c r="B533" s="1870"/>
      <c r="C533" s="1871"/>
      <c r="D533" s="1871"/>
      <c r="E533" s="1871"/>
      <c r="F533" s="1871"/>
      <c r="G533" s="1871"/>
      <c r="H533" s="1872"/>
      <c r="I533" s="35" t="s">
        <v>752</v>
      </c>
      <c r="J533" s="35"/>
      <c r="K533" s="35"/>
      <c r="L533" s="35"/>
      <c r="M533" s="35"/>
      <c r="N533" s="35"/>
      <c r="O533" s="35"/>
      <c r="P533" s="35"/>
      <c r="Q533" s="35"/>
      <c r="R533" s="35"/>
      <c r="S533" s="35"/>
      <c r="T533" s="35"/>
      <c r="U533" s="35"/>
      <c r="V533" s="35"/>
      <c r="W533" s="35"/>
      <c r="X533" s="35"/>
      <c r="Y533" s="35"/>
      <c r="AC533" s="1865">
        <v>1</v>
      </c>
      <c r="AD533" s="1866"/>
      <c r="AE533" s="1866"/>
      <c r="AF533" s="1866"/>
      <c r="AG533" s="89" t="s">
        <v>276</v>
      </c>
      <c r="AH533" s="1757">
        <v>2020</v>
      </c>
      <c r="AI533" s="1757"/>
      <c r="AJ533" s="1757"/>
      <c r="AK533" s="1758"/>
      <c r="AM533" s="72"/>
      <c r="AN533" s="72"/>
      <c r="AO533" s="72"/>
      <c r="AP533" s="72"/>
      <c r="AQ533" s="72"/>
      <c r="AR533" s="72"/>
      <c r="AS533" s="72"/>
      <c r="AT533" s="72"/>
      <c r="AU533" s="72"/>
      <c r="AV533" s="72"/>
      <c r="AW533" s="72"/>
      <c r="AX533" s="72"/>
      <c r="AY533" s="72"/>
      <c r="AZ533" s="72"/>
      <c r="BA533" s="72"/>
      <c r="BB533" s="72"/>
      <c r="BC533" s="72"/>
      <c r="BD533" s="72"/>
      <c r="BE533" s="72"/>
      <c r="BF533" s="72"/>
      <c r="BG533" s="72"/>
      <c r="BH533" s="72"/>
      <c r="BI533" s="72"/>
      <c r="BJ533" s="72"/>
      <c r="BK533" s="72"/>
      <c r="BL533" s="72"/>
      <c r="BM533" s="72"/>
      <c r="BN533" s="72"/>
      <c r="BO533" s="72"/>
      <c r="BP533" s="72"/>
      <c r="BQ533" s="72"/>
      <c r="BR533" s="72"/>
      <c r="BS533" s="72"/>
      <c r="BT533" s="72"/>
      <c r="BU533" s="72"/>
      <c r="BV533" s="72"/>
      <c r="BW533" s="72"/>
      <c r="BX533" s="72"/>
      <c r="BY533" s="72"/>
      <c r="BZ533" s="72"/>
      <c r="CA533" s="72"/>
      <c r="CB533" s="72"/>
      <c r="CC533" s="72"/>
      <c r="CD533" s="72"/>
      <c r="CE533" s="72"/>
      <c r="CF533" s="72"/>
      <c r="CG533" s="72"/>
      <c r="CH533" s="72"/>
      <c r="CI533" s="72"/>
      <c r="CJ533" s="72"/>
      <c r="CK533" s="72"/>
      <c r="CL533" s="72"/>
      <c r="CM533" s="72"/>
      <c r="CN533" s="72"/>
      <c r="CO533" s="72"/>
      <c r="CP533" s="72"/>
      <c r="CQ533" s="72"/>
      <c r="CR533" s="72"/>
      <c r="CS533" s="72"/>
    </row>
    <row r="534" spans="2:97" ht="13.2">
      <c r="B534" s="1870"/>
      <c r="C534" s="1871"/>
      <c r="D534" s="1871"/>
      <c r="E534" s="1871"/>
      <c r="F534" s="1871"/>
      <c r="G534" s="1871"/>
      <c r="H534" s="1872"/>
      <c r="I534" s="94" t="s">
        <v>753</v>
      </c>
      <c r="J534" s="94"/>
      <c r="K534" s="94"/>
      <c r="L534" s="94"/>
      <c r="M534" s="94"/>
      <c r="N534" s="94"/>
      <c r="O534" s="94"/>
      <c r="P534" s="94"/>
      <c r="Q534" s="94"/>
      <c r="R534" s="94"/>
      <c r="S534" s="94"/>
      <c r="T534" s="94"/>
      <c r="U534" s="94"/>
      <c r="V534" s="94"/>
      <c r="W534" s="94"/>
      <c r="X534" s="94"/>
      <c r="Y534" s="94"/>
      <c r="Z534" s="94"/>
      <c r="AA534" s="94"/>
      <c r="AB534" s="94"/>
      <c r="AC534" s="1865">
        <v>6</v>
      </c>
      <c r="AD534" s="1866"/>
      <c r="AE534" s="1866"/>
      <c r="AF534" s="1866"/>
      <c r="AG534" s="79" t="s">
        <v>276</v>
      </c>
      <c r="AH534" s="1757">
        <v>2020</v>
      </c>
      <c r="AI534" s="1757"/>
      <c r="AJ534" s="1757"/>
      <c r="AK534" s="1758"/>
      <c r="AM534" s="72"/>
      <c r="AN534" s="72"/>
      <c r="AO534" s="72"/>
      <c r="AP534" s="72"/>
      <c r="AQ534" s="72"/>
      <c r="AR534" s="72"/>
      <c r="AS534" s="72"/>
      <c r="AT534" s="72"/>
      <c r="AU534" s="72"/>
      <c r="AV534" s="72"/>
      <c r="AW534" s="72"/>
      <c r="AX534" s="72"/>
      <c r="AY534" s="72"/>
      <c r="AZ534" s="72"/>
      <c r="BA534" s="72"/>
      <c r="BB534" s="72"/>
      <c r="BC534" s="72"/>
      <c r="BD534" s="72"/>
      <c r="BE534" s="72"/>
      <c r="BF534" s="72"/>
      <c r="BG534" s="72"/>
      <c r="BH534" s="72"/>
      <c r="BI534" s="72"/>
      <c r="BJ534" s="72"/>
      <c r="BK534" s="72"/>
      <c r="BL534" s="72"/>
      <c r="BM534" s="72"/>
      <c r="BN534" s="72"/>
      <c r="BO534" s="72"/>
      <c r="BP534" s="72"/>
      <c r="BQ534" s="72"/>
      <c r="BR534" s="72"/>
      <c r="BS534" s="72"/>
      <c r="BT534" s="72"/>
      <c r="BU534" s="72"/>
      <c r="BV534" s="72"/>
      <c r="BW534" s="72"/>
      <c r="BX534" s="72"/>
      <c r="BY534" s="72"/>
      <c r="BZ534" s="72"/>
      <c r="CA534" s="72"/>
      <c r="CB534" s="72"/>
      <c r="CC534" s="72"/>
      <c r="CD534" s="72"/>
      <c r="CE534" s="72"/>
      <c r="CF534" s="72"/>
      <c r="CG534" s="72"/>
      <c r="CH534" s="72"/>
      <c r="CI534" s="72"/>
      <c r="CJ534" s="72"/>
      <c r="CK534" s="72"/>
      <c r="CL534" s="72"/>
      <c r="CM534" s="72"/>
      <c r="CN534" s="72"/>
      <c r="CO534" s="72"/>
      <c r="CP534" s="72"/>
      <c r="CQ534" s="72"/>
      <c r="CR534" s="72"/>
      <c r="CS534" s="72"/>
    </row>
    <row r="535" spans="2:97" ht="13.2">
      <c r="B535" s="1870"/>
      <c r="C535" s="1871"/>
      <c r="D535" s="1871"/>
      <c r="E535" s="1871"/>
      <c r="F535" s="1871"/>
      <c r="G535" s="1871"/>
      <c r="H535" s="1872"/>
      <c r="I535" s="86" t="s">
        <v>754</v>
      </c>
      <c r="J535" s="86"/>
      <c r="K535" s="86"/>
      <c r="L535" s="86"/>
      <c r="M535" s="86"/>
      <c r="N535" s="86"/>
      <c r="O535" s="1787" t="s">
        <v>2416</v>
      </c>
      <c r="P535" s="1788"/>
      <c r="Q535" s="1788"/>
      <c r="R535" s="1788"/>
      <c r="S535" s="1788"/>
      <c r="T535" s="1788"/>
      <c r="U535" s="1788"/>
      <c r="V535" s="1788"/>
      <c r="W535" s="1788"/>
      <c r="X535" s="1788"/>
      <c r="Y535" s="1788"/>
      <c r="Z535" s="1788"/>
      <c r="AA535" s="1788"/>
      <c r="AC535" s="1865" t="s">
        <v>136</v>
      </c>
      <c r="AD535" s="1866"/>
      <c r="AE535" s="1866"/>
      <c r="AF535" s="1866"/>
      <c r="AG535" s="89" t="s">
        <v>276</v>
      </c>
      <c r="AH535" s="1757"/>
      <c r="AI535" s="1757"/>
      <c r="AJ535" s="1757"/>
      <c r="AK535" s="1758"/>
      <c r="AM535" s="72"/>
      <c r="AN535" s="72"/>
      <c r="AO535" s="72"/>
      <c r="AP535" s="72"/>
      <c r="AQ535" s="72"/>
      <c r="AR535" s="72"/>
      <c r="AS535" s="72"/>
      <c r="AT535" s="72"/>
      <c r="AU535" s="72"/>
      <c r="AV535" s="72"/>
      <c r="AW535" s="72"/>
      <c r="AX535" s="72"/>
      <c r="AY535" s="72"/>
      <c r="AZ535" s="72"/>
      <c r="BA535" s="72"/>
      <c r="BB535" s="72"/>
      <c r="BC535" s="72"/>
      <c r="BD535" s="72"/>
      <c r="BE535" s="72"/>
      <c r="BF535" s="72"/>
      <c r="BG535" s="72"/>
      <c r="BH535" s="72"/>
      <c r="BI535" s="72"/>
      <c r="BJ535" s="72"/>
      <c r="BK535" s="72"/>
      <c r="BL535" s="72"/>
      <c r="BM535" s="72"/>
      <c r="BN535" s="72"/>
      <c r="BO535" s="72"/>
      <c r="BP535" s="72"/>
      <c r="BQ535" s="72"/>
      <c r="BR535" s="72"/>
      <c r="BS535" s="72"/>
      <c r="BT535" s="72"/>
      <c r="BU535" s="72"/>
      <c r="BV535" s="72"/>
      <c r="BW535" s="72"/>
      <c r="BX535" s="72"/>
      <c r="BY535" s="72"/>
      <c r="BZ535" s="72"/>
      <c r="CA535" s="72"/>
      <c r="CB535" s="72"/>
      <c r="CC535" s="72"/>
      <c r="CD535" s="72"/>
      <c r="CE535" s="72"/>
      <c r="CF535" s="72"/>
      <c r="CG535" s="72"/>
      <c r="CH535" s="72"/>
      <c r="CI535" s="72"/>
      <c r="CJ535" s="72"/>
      <c r="CK535" s="72"/>
      <c r="CL535" s="72"/>
      <c r="CM535" s="72"/>
      <c r="CN535" s="72"/>
      <c r="CO535" s="72"/>
      <c r="CP535" s="72"/>
      <c r="CQ535" s="72"/>
      <c r="CR535" s="72"/>
      <c r="CS535" s="72"/>
    </row>
    <row r="536" spans="2:97" ht="13.2">
      <c r="B536" s="1870"/>
      <c r="C536" s="1871"/>
      <c r="D536" s="1871"/>
      <c r="E536" s="1871"/>
      <c r="F536" s="1871"/>
      <c r="G536" s="1871"/>
      <c r="H536" s="1872"/>
      <c r="I536" s="35" t="s">
        <v>752</v>
      </c>
      <c r="J536" s="35"/>
      <c r="K536" s="35"/>
      <c r="L536" s="35"/>
      <c r="M536" s="35"/>
      <c r="N536" s="35"/>
      <c r="O536" s="35"/>
      <c r="P536" s="35"/>
      <c r="Q536" s="35"/>
      <c r="R536" s="35"/>
      <c r="S536" s="35"/>
      <c r="T536" s="35"/>
      <c r="U536" s="35"/>
      <c r="V536" s="35"/>
      <c r="W536" s="35"/>
      <c r="X536" s="35"/>
      <c r="Y536" s="35"/>
      <c r="AC536" s="1865" t="s">
        <v>136</v>
      </c>
      <c r="AD536" s="1866"/>
      <c r="AE536" s="1866"/>
      <c r="AF536" s="1866"/>
      <c r="AG536" s="89" t="s">
        <v>276</v>
      </c>
      <c r="AH536" s="1757"/>
      <c r="AI536" s="1757"/>
      <c r="AJ536" s="1757"/>
      <c r="AK536" s="1758"/>
      <c r="AM536" s="72"/>
      <c r="AN536" s="72"/>
      <c r="AO536" s="72"/>
      <c r="AP536" s="72"/>
      <c r="AQ536" s="72"/>
      <c r="AR536" s="72"/>
      <c r="AS536" s="72"/>
      <c r="AT536" s="72"/>
      <c r="AU536" s="72"/>
      <c r="AV536" s="72"/>
      <c r="AW536" s="72"/>
      <c r="AX536" s="72"/>
      <c r="AY536" s="72"/>
      <c r="AZ536" s="72"/>
      <c r="BA536" s="72"/>
      <c r="BB536" s="72"/>
      <c r="BC536" s="72"/>
      <c r="BD536" s="72"/>
      <c r="BE536" s="72"/>
      <c r="BF536" s="72"/>
      <c r="BG536" s="72"/>
      <c r="BH536" s="72"/>
      <c r="BI536" s="72"/>
      <c r="BJ536" s="72"/>
      <c r="BK536" s="72"/>
      <c r="BL536" s="72"/>
      <c r="BM536" s="72"/>
      <c r="BN536" s="72"/>
      <c r="BO536" s="72"/>
      <c r="BP536" s="72"/>
      <c r="BQ536" s="72"/>
      <c r="BR536" s="72"/>
      <c r="BS536" s="72"/>
      <c r="BT536" s="72"/>
      <c r="BU536" s="72"/>
      <c r="BV536" s="72"/>
      <c r="BW536" s="72"/>
      <c r="BX536" s="72"/>
      <c r="BY536" s="72"/>
      <c r="BZ536" s="72"/>
      <c r="CA536" s="72"/>
      <c r="CB536" s="72"/>
      <c r="CC536" s="72"/>
      <c r="CD536" s="72"/>
      <c r="CE536" s="72"/>
      <c r="CF536" s="72"/>
      <c r="CG536" s="72"/>
      <c r="CH536" s="72"/>
      <c r="CI536" s="72"/>
      <c r="CJ536" s="72"/>
      <c r="CK536" s="72"/>
      <c r="CL536" s="72"/>
      <c r="CM536" s="72"/>
      <c r="CN536" s="72"/>
      <c r="CO536" s="72"/>
      <c r="CP536" s="72"/>
      <c r="CQ536" s="72"/>
      <c r="CR536" s="72"/>
      <c r="CS536" s="72"/>
    </row>
    <row r="537" spans="2:97" ht="13.2">
      <c r="B537" s="1870"/>
      <c r="C537" s="1871"/>
      <c r="D537" s="1871"/>
      <c r="E537" s="1871"/>
      <c r="F537" s="1871"/>
      <c r="G537" s="1871"/>
      <c r="H537" s="1872"/>
      <c r="I537" s="94" t="s">
        <v>753</v>
      </c>
      <c r="J537" s="94"/>
      <c r="K537" s="94"/>
      <c r="L537" s="94"/>
      <c r="M537" s="94"/>
      <c r="N537" s="94"/>
      <c r="O537" s="94"/>
      <c r="P537" s="94"/>
      <c r="Q537" s="94"/>
      <c r="R537" s="94"/>
      <c r="S537" s="94"/>
      <c r="T537" s="94"/>
      <c r="U537" s="94"/>
      <c r="V537" s="94"/>
      <c r="W537" s="94"/>
      <c r="X537" s="94"/>
      <c r="Y537" s="94"/>
      <c r="Z537" s="94"/>
      <c r="AA537" s="94"/>
      <c r="AB537" s="94"/>
      <c r="AC537" s="1865">
        <v>2</v>
      </c>
      <c r="AD537" s="1866"/>
      <c r="AE537" s="1866"/>
      <c r="AF537" s="1866"/>
      <c r="AG537" s="79" t="s">
        <v>276</v>
      </c>
      <c r="AH537" s="1757">
        <v>2021</v>
      </c>
      <c r="AI537" s="1757"/>
      <c r="AJ537" s="1757"/>
      <c r="AK537" s="1758"/>
      <c r="AM537" s="72"/>
      <c r="AN537" s="72"/>
      <c r="AO537" s="72"/>
      <c r="AP537" s="72"/>
      <c r="AQ537" s="72"/>
      <c r="AR537" s="72"/>
      <c r="AS537" s="72"/>
      <c r="AT537" s="72"/>
      <c r="AU537" s="72"/>
      <c r="AV537" s="72"/>
      <c r="AW537" s="72"/>
      <c r="AX537" s="72"/>
      <c r="AY537" s="72"/>
      <c r="AZ537" s="72"/>
      <c r="BA537" s="72"/>
      <c r="BB537" s="72"/>
      <c r="BC537" s="72"/>
      <c r="BD537" s="72"/>
      <c r="BE537" s="72"/>
      <c r="BF537" s="72"/>
      <c r="BG537" s="72"/>
      <c r="BH537" s="72"/>
      <c r="BI537" s="72"/>
      <c r="BJ537" s="72"/>
      <c r="BK537" s="72"/>
      <c r="BL537" s="72"/>
      <c r="BM537" s="72"/>
      <c r="BN537" s="72"/>
      <c r="BO537" s="72"/>
      <c r="BP537" s="72"/>
      <c r="BQ537" s="72"/>
      <c r="BR537" s="72"/>
      <c r="BS537" s="72"/>
      <c r="BT537" s="72"/>
      <c r="BU537" s="72"/>
      <c r="BV537" s="72"/>
      <c r="BW537" s="72"/>
      <c r="BX537" s="72"/>
      <c r="BY537" s="72"/>
      <c r="BZ537" s="72"/>
      <c r="CA537" s="72"/>
      <c r="CB537" s="72"/>
      <c r="CC537" s="72"/>
      <c r="CD537" s="72"/>
      <c r="CE537" s="72"/>
      <c r="CF537" s="72"/>
      <c r="CG537" s="72"/>
      <c r="CH537" s="72"/>
      <c r="CI537" s="72"/>
      <c r="CJ537" s="72"/>
      <c r="CK537" s="72"/>
      <c r="CL537" s="72"/>
      <c r="CM537" s="72"/>
      <c r="CN537" s="72"/>
      <c r="CO537" s="72"/>
      <c r="CP537" s="72"/>
      <c r="CQ537" s="72"/>
      <c r="CR537" s="72"/>
      <c r="CS537" s="72"/>
    </row>
    <row r="538" spans="2:97" ht="13.2">
      <c r="B538" s="1870"/>
      <c r="C538" s="1871"/>
      <c r="D538" s="1871"/>
      <c r="E538" s="1871"/>
      <c r="F538" s="1871"/>
      <c r="G538" s="1871"/>
      <c r="H538" s="1872"/>
      <c r="I538" s="86" t="s">
        <v>754</v>
      </c>
      <c r="J538" s="86"/>
      <c r="K538" s="86"/>
      <c r="L538" s="86"/>
      <c r="M538" s="86"/>
      <c r="N538" s="86"/>
      <c r="O538" s="1788" t="s">
        <v>622</v>
      </c>
      <c r="P538" s="1788"/>
      <c r="Q538" s="1788"/>
      <c r="R538" s="1788"/>
      <c r="S538" s="1788"/>
      <c r="T538" s="1788"/>
      <c r="U538" s="1788"/>
      <c r="V538" s="1788"/>
      <c r="W538" s="1788"/>
      <c r="X538" s="1788"/>
      <c r="Y538" s="1788"/>
      <c r="Z538" s="1788"/>
      <c r="AA538" s="1788"/>
      <c r="AC538" s="1865" t="s">
        <v>136</v>
      </c>
      <c r="AD538" s="1866"/>
      <c r="AE538" s="1866"/>
      <c r="AF538" s="1866"/>
      <c r="AG538" s="89" t="s">
        <v>276</v>
      </c>
      <c r="AH538" s="1757"/>
      <c r="AI538" s="1757"/>
      <c r="AJ538" s="1757"/>
      <c r="AK538" s="1758"/>
      <c r="AM538" s="72"/>
      <c r="AN538" s="72"/>
      <c r="AO538" s="72"/>
      <c r="AP538" s="72"/>
      <c r="AQ538" s="72"/>
      <c r="AR538" s="72"/>
      <c r="AS538" s="72"/>
      <c r="AT538" s="72"/>
      <c r="AU538" s="72"/>
      <c r="AV538" s="72"/>
      <c r="AW538" s="72"/>
      <c r="AX538" s="72"/>
      <c r="AY538" s="72"/>
      <c r="AZ538" s="72"/>
      <c r="BA538" s="72"/>
      <c r="BB538" s="72"/>
      <c r="BC538" s="72"/>
      <c r="BD538" s="72"/>
      <c r="BE538" s="72"/>
      <c r="BF538" s="72"/>
      <c r="BG538" s="72"/>
      <c r="BH538" s="72"/>
      <c r="BI538" s="72"/>
      <c r="BJ538" s="72"/>
      <c r="BK538" s="72"/>
      <c r="BL538" s="72"/>
      <c r="BM538" s="72"/>
      <c r="BN538" s="72"/>
      <c r="BO538" s="72"/>
      <c r="BP538" s="72"/>
      <c r="BQ538" s="72"/>
      <c r="BR538" s="72"/>
      <c r="BS538" s="72"/>
      <c r="BT538" s="72"/>
      <c r="BU538" s="72"/>
      <c r="BV538" s="72"/>
      <c r="BW538" s="72"/>
      <c r="BX538" s="72"/>
      <c r="BY538" s="72"/>
      <c r="BZ538" s="72"/>
      <c r="CA538" s="72"/>
      <c r="CB538" s="72"/>
      <c r="CC538" s="72"/>
      <c r="CD538" s="72"/>
      <c r="CE538" s="72"/>
      <c r="CF538" s="72"/>
      <c r="CG538" s="72"/>
      <c r="CH538" s="72"/>
      <c r="CI538" s="72"/>
      <c r="CJ538" s="72"/>
      <c r="CK538" s="72"/>
      <c r="CL538" s="72"/>
      <c r="CM538" s="72"/>
      <c r="CN538" s="72"/>
      <c r="CO538" s="72"/>
      <c r="CP538" s="72"/>
      <c r="CQ538" s="72"/>
      <c r="CR538" s="72"/>
      <c r="CS538" s="72"/>
    </row>
    <row r="539" spans="2:97" ht="13.2">
      <c r="B539" s="1870"/>
      <c r="C539" s="1871"/>
      <c r="D539" s="1871"/>
      <c r="E539" s="1871"/>
      <c r="F539" s="1871"/>
      <c r="G539" s="1871"/>
      <c r="H539" s="1872"/>
      <c r="I539" s="35" t="s">
        <v>752</v>
      </c>
      <c r="J539" s="35"/>
      <c r="K539" s="35"/>
      <c r="L539" s="35"/>
      <c r="M539" s="35"/>
      <c r="N539" s="35"/>
      <c r="O539" s="35"/>
      <c r="P539" s="35"/>
      <c r="Q539" s="35"/>
      <c r="R539" s="35"/>
      <c r="S539" s="35"/>
      <c r="T539" s="35"/>
      <c r="U539" s="35"/>
      <c r="V539" s="35"/>
      <c r="W539" s="35"/>
      <c r="X539" s="35"/>
      <c r="Y539" s="35"/>
      <c r="AC539" s="1865" t="s">
        <v>136</v>
      </c>
      <c r="AD539" s="1866"/>
      <c r="AE539" s="1866"/>
      <c r="AF539" s="1866"/>
      <c r="AG539" s="79" t="s">
        <v>276</v>
      </c>
      <c r="AH539" s="1757"/>
      <c r="AI539" s="1757"/>
      <c r="AJ539" s="1757"/>
      <c r="AK539" s="1758"/>
      <c r="AM539" s="72"/>
      <c r="AN539" s="72"/>
      <c r="AO539" s="72"/>
      <c r="AP539" s="72"/>
      <c r="AQ539" s="72"/>
      <c r="AR539" s="72"/>
      <c r="AS539" s="72"/>
      <c r="AT539" s="72"/>
      <c r="AU539" s="72"/>
      <c r="AV539" s="72"/>
      <c r="AW539" s="72"/>
      <c r="AX539" s="72"/>
      <c r="AY539" s="72"/>
      <c r="AZ539" s="72"/>
      <c r="BA539" s="72"/>
      <c r="BB539" s="72"/>
      <c r="BC539" s="72"/>
      <c r="BD539" s="72"/>
      <c r="BE539" s="72"/>
      <c r="BF539" s="72"/>
      <c r="BG539" s="72"/>
      <c r="BH539" s="72"/>
      <c r="BI539" s="72"/>
      <c r="BJ539" s="72"/>
      <c r="BK539" s="72"/>
      <c r="BL539" s="72"/>
      <c r="BM539" s="72"/>
      <c r="BN539" s="72"/>
      <c r="BO539" s="72"/>
      <c r="BP539" s="72"/>
      <c r="BQ539" s="72"/>
      <c r="BR539" s="72"/>
      <c r="BS539" s="72"/>
      <c r="BT539" s="72"/>
      <c r="BU539" s="72"/>
      <c r="BV539" s="72"/>
      <c r="BW539" s="72"/>
      <c r="BX539" s="72"/>
      <c r="BY539" s="72"/>
      <c r="BZ539" s="72"/>
      <c r="CA539" s="72"/>
      <c r="CB539" s="72"/>
      <c r="CC539" s="72"/>
      <c r="CD539" s="72"/>
      <c r="CE539" s="72"/>
      <c r="CF539" s="72"/>
      <c r="CG539" s="72"/>
      <c r="CH539" s="72"/>
      <c r="CI539" s="72"/>
      <c r="CJ539" s="72"/>
      <c r="CK539" s="72"/>
      <c r="CL539" s="72"/>
      <c r="CM539" s="72"/>
      <c r="CN539" s="72"/>
      <c r="CO539" s="72"/>
      <c r="CP539" s="72"/>
      <c r="CQ539" s="72"/>
      <c r="CR539" s="72"/>
      <c r="CS539" s="72"/>
    </row>
    <row r="540" spans="2:97" ht="13.2">
      <c r="B540" s="1870"/>
      <c r="C540" s="1871"/>
      <c r="D540" s="1871"/>
      <c r="E540" s="1871"/>
      <c r="F540" s="1871"/>
      <c r="G540" s="1871"/>
      <c r="H540" s="1872"/>
      <c r="I540" s="94" t="s">
        <v>753</v>
      </c>
      <c r="J540" s="94"/>
      <c r="K540" s="94"/>
      <c r="L540" s="94"/>
      <c r="M540" s="94"/>
      <c r="N540" s="94"/>
      <c r="O540" s="94"/>
      <c r="P540" s="94"/>
      <c r="Q540" s="94"/>
      <c r="R540" s="94"/>
      <c r="S540" s="94"/>
      <c r="T540" s="94"/>
      <c r="U540" s="94"/>
      <c r="V540" s="94"/>
      <c r="W540" s="94"/>
      <c r="X540" s="94"/>
      <c r="Y540" s="94"/>
      <c r="Z540" s="94"/>
      <c r="AA540" s="94"/>
      <c r="AB540" s="94"/>
      <c r="AC540" s="1865" t="s">
        <v>136</v>
      </c>
      <c r="AD540" s="1866"/>
      <c r="AE540" s="1866"/>
      <c r="AF540" s="1866"/>
      <c r="AG540" s="89" t="s">
        <v>276</v>
      </c>
      <c r="AH540" s="1757"/>
      <c r="AI540" s="1757"/>
      <c r="AJ540" s="1757"/>
      <c r="AK540" s="1758"/>
      <c r="AM540" s="72"/>
      <c r="AN540" s="72"/>
      <c r="AO540" s="72"/>
      <c r="AP540" s="72"/>
      <c r="AQ540" s="72"/>
      <c r="AR540" s="72"/>
      <c r="AS540" s="72"/>
      <c r="AT540" s="72"/>
      <c r="AU540" s="72"/>
      <c r="AV540" s="72"/>
      <c r="AW540" s="72"/>
      <c r="AX540" s="72"/>
      <c r="AY540" s="72"/>
      <c r="AZ540" s="72"/>
      <c r="BA540" s="72"/>
      <c r="BB540" s="72"/>
      <c r="BC540" s="72"/>
      <c r="BD540" s="72"/>
      <c r="BE540" s="72"/>
      <c r="BF540" s="72"/>
      <c r="BG540" s="72"/>
      <c r="BH540" s="72"/>
      <c r="BI540" s="72"/>
      <c r="BJ540" s="72"/>
      <c r="BK540" s="72"/>
      <c r="BL540" s="72"/>
      <c r="BM540" s="72"/>
      <c r="BN540" s="72"/>
      <c r="BO540" s="72"/>
      <c r="BP540" s="72"/>
      <c r="BQ540" s="72"/>
      <c r="BR540" s="72"/>
      <c r="BS540" s="72"/>
      <c r="BT540" s="72"/>
      <c r="BU540" s="72"/>
      <c r="BV540" s="72"/>
      <c r="BW540" s="72"/>
      <c r="BX540" s="72"/>
      <c r="BY540" s="72"/>
      <c r="BZ540" s="72"/>
      <c r="CA540" s="72"/>
      <c r="CB540" s="72"/>
      <c r="CC540" s="72"/>
      <c r="CD540" s="72"/>
      <c r="CE540" s="72"/>
      <c r="CF540" s="72"/>
      <c r="CG540" s="72"/>
      <c r="CH540" s="72"/>
      <c r="CI540" s="72"/>
      <c r="CJ540" s="72"/>
      <c r="CK540" s="72"/>
      <c r="CL540" s="72"/>
      <c r="CM540" s="72"/>
      <c r="CN540" s="72"/>
      <c r="CO540" s="72"/>
      <c r="CP540" s="72"/>
      <c r="CQ540" s="72"/>
      <c r="CR540" s="72"/>
      <c r="CS540" s="72"/>
    </row>
    <row r="541" spans="2:97" ht="12.75" customHeight="1">
      <c r="B541" s="1870"/>
      <c r="C541" s="1871"/>
      <c r="D541" s="1871"/>
      <c r="E541" s="1871"/>
      <c r="F541" s="1871"/>
      <c r="G541" s="1871"/>
      <c r="H541" s="1872"/>
      <c r="I541" s="86" t="s">
        <v>754</v>
      </c>
      <c r="J541" s="86"/>
      <c r="K541" s="86"/>
      <c r="L541" s="86"/>
      <c r="M541" s="86"/>
      <c r="N541" s="86"/>
      <c r="O541" s="1788" t="s">
        <v>622</v>
      </c>
      <c r="P541" s="1788"/>
      <c r="Q541" s="1788"/>
      <c r="R541" s="1788"/>
      <c r="S541" s="1788"/>
      <c r="T541" s="1788"/>
      <c r="U541" s="1788"/>
      <c r="V541" s="1788"/>
      <c r="W541" s="1788"/>
      <c r="X541" s="1788"/>
      <c r="Y541" s="1788"/>
      <c r="Z541" s="1788"/>
      <c r="AA541" s="1788"/>
      <c r="AC541" s="1865" t="s">
        <v>136</v>
      </c>
      <c r="AD541" s="1866"/>
      <c r="AE541" s="1866"/>
      <c r="AF541" s="1866"/>
      <c r="AG541" s="79" t="s">
        <v>276</v>
      </c>
      <c r="AH541" s="1757"/>
      <c r="AI541" s="1757"/>
      <c r="AJ541" s="1757"/>
      <c r="AK541" s="1758"/>
      <c r="AM541" s="72"/>
      <c r="AN541" s="72"/>
      <c r="AO541" s="72"/>
      <c r="AP541" s="72"/>
      <c r="AQ541" s="72"/>
      <c r="AR541" s="72"/>
      <c r="AS541" s="72"/>
      <c r="AT541" s="72"/>
      <c r="AU541" s="72"/>
      <c r="AV541" s="72"/>
      <c r="AW541" s="72"/>
      <c r="AX541" s="72"/>
      <c r="AY541" s="72"/>
      <c r="AZ541" s="72"/>
      <c r="BA541" s="72"/>
      <c r="BB541" s="72"/>
      <c r="BC541" s="72"/>
      <c r="BD541" s="72"/>
      <c r="BE541" s="72"/>
      <c r="BF541" s="72"/>
      <c r="BG541" s="72"/>
      <c r="BH541" s="72"/>
      <c r="BI541" s="72"/>
      <c r="BJ541" s="72"/>
      <c r="BK541" s="72"/>
      <c r="BL541" s="72"/>
      <c r="BM541" s="72"/>
      <c r="BN541" s="72"/>
      <c r="BO541" s="72"/>
      <c r="BP541" s="72"/>
      <c r="BQ541" s="72"/>
      <c r="BR541" s="72"/>
      <c r="BS541" s="72"/>
      <c r="BT541" s="72"/>
      <c r="BU541" s="72"/>
      <c r="BV541" s="72"/>
      <c r="BW541" s="72"/>
      <c r="BX541" s="72"/>
      <c r="BY541" s="72"/>
      <c r="BZ541" s="72"/>
      <c r="CA541" s="72"/>
      <c r="CB541" s="72"/>
      <c r="CC541" s="72"/>
      <c r="CD541" s="72"/>
      <c r="CE541" s="72"/>
      <c r="CF541" s="72"/>
      <c r="CG541" s="72"/>
      <c r="CH541" s="72"/>
      <c r="CI541" s="72"/>
      <c r="CJ541" s="72"/>
      <c r="CK541" s="72"/>
      <c r="CL541" s="72"/>
      <c r="CM541" s="72"/>
      <c r="CN541" s="72"/>
      <c r="CO541" s="72"/>
      <c r="CP541" s="72"/>
      <c r="CQ541" s="72"/>
      <c r="CR541" s="72"/>
      <c r="CS541" s="72"/>
    </row>
    <row r="542" spans="2:97" ht="13.2">
      <c r="B542" s="1870"/>
      <c r="C542" s="1871"/>
      <c r="D542" s="1871"/>
      <c r="E542" s="1871"/>
      <c r="F542" s="1871"/>
      <c r="G542" s="1871"/>
      <c r="H542" s="1872"/>
      <c r="I542" s="35" t="s">
        <v>752</v>
      </c>
      <c r="J542" s="35"/>
      <c r="K542" s="35"/>
      <c r="L542" s="35"/>
      <c r="M542" s="35"/>
      <c r="N542" s="35"/>
      <c r="O542" s="35"/>
      <c r="P542" s="35"/>
      <c r="Q542" s="35"/>
      <c r="R542" s="35"/>
      <c r="S542" s="35"/>
      <c r="T542" s="35"/>
      <c r="U542" s="35"/>
      <c r="V542" s="35"/>
      <c r="W542" s="35"/>
      <c r="X542" s="35"/>
      <c r="Y542" s="35"/>
      <c r="AC542" s="1865" t="s">
        <v>136</v>
      </c>
      <c r="AD542" s="1866"/>
      <c r="AE542" s="1866"/>
      <c r="AF542" s="1866"/>
      <c r="AG542" s="89" t="s">
        <v>276</v>
      </c>
      <c r="AH542" s="1757"/>
      <c r="AI542" s="1757"/>
      <c r="AJ542" s="1757"/>
      <c r="AK542" s="1758"/>
      <c r="AM542" s="72"/>
      <c r="AN542" s="72"/>
      <c r="AO542" s="72"/>
      <c r="AP542" s="72"/>
      <c r="AQ542" s="72"/>
      <c r="AR542" s="72"/>
      <c r="AS542" s="72"/>
      <c r="AT542" s="72"/>
      <c r="AU542" s="72"/>
      <c r="AV542" s="72"/>
      <c r="AW542" s="72"/>
      <c r="AX542" s="72"/>
      <c r="AY542" s="72"/>
      <c r="AZ542" s="72"/>
      <c r="BA542" s="72"/>
      <c r="BB542" s="72"/>
      <c r="BC542" s="72"/>
      <c r="BD542" s="72"/>
      <c r="BE542" s="72"/>
      <c r="BF542" s="72"/>
      <c r="BG542" s="72"/>
      <c r="BH542" s="72"/>
      <c r="BI542" s="72"/>
      <c r="BJ542" s="72"/>
      <c r="BK542" s="72"/>
      <c r="BL542" s="72"/>
      <c r="BM542" s="72"/>
      <c r="BN542" s="72"/>
      <c r="BO542" s="72"/>
      <c r="BP542" s="72"/>
      <c r="BQ542" s="72"/>
      <c r="BR542" s="72"/>
      <c r="BS542" s="72"/>
      <c r="BT542" s="72"/>
      <c r="BU542" s="72"/>
      <c r="BV542" s="72"/>
      <c r="BW542" s="72"/>
      <c r="BX542" s="72"/>
      <c r="BY542" s="72"/>
      <c r="BZ542" s="72"/>
      <c r="CA542" s="72"/>
      <c r="CB542" s="72"/>
      <c r="CC542" s="72"/>
      <c r="CD542" s="72"/>
      <c r="CE542" s="72"/>
      <c r="CF542" s="72"/>
      <c r="CG542" s="72"/>
      <c r="CH542" s="72"/>
      <c r="CI542" s="72"/>
      <c r="CJ542" s="72"/>
      <c r="CK542" s="72"/>
      <c r="CL542" s="72"/>
      <c r="CM542" s="72"/>
      <c r="CN542" s="72"/>
      <c r="CO542" s="72"/>
      <c r="CP542" s="72"/>
      <c r="CQ542" s="72"/>
      <c r="CR542" s="72"/>
      <c r="CS542" s="72"/>
    </row>
    <row r="543" spans="2:97" ht="13.2">
      <c r="B543" s="1870"/>
      <c r="C543" s="1871"/>
      <c r="D543" s="1871"/>
      <c r="E543" s="1871"/>
      <c r="F543" s="1871"/>
      <c r="G543" s="1871"/>
      <c r="H543" s="1872"/>
      <c r="I543" s="94" t="s">
        <v>753</v>
      </c>
      <c r="J543" s="94"/>
      <c r="K543" s="94"/>
      <c r="L543" s="94"/>
      <c r="M543" s="94"/>
      <c r="N543" s="94"/>
      <c r="O543" s="94"/>
      <c r="P543" s="94"/>
      <c r="Q543" s="94"/>
      <c r="R543" s="94"/>
      <c r="S543" s="94"/>
      <c r="T543" s="94"/>
      <c r="U543" s="94"/>
      <c r="V543" s="94"/>
      <c r="W543" s="94"/>
      <c r="X543" s="94"/>
      <c r="Y543" s="94"/>
      <c r="Z543" s="94"/>
      <c r="AA543" s="94"/>
      <c r="AB543" s="94"/>
      <c r="AC543" s="1865" t="s">
        <v>136</v>
      </c>
      <c r="AD543" s="1866"/>
      <c r="AE543" s="1866"/>
      <c r="AF543" s="1866"/>
      <c r="AG543" s="79" t="s">
        <v>276</v>
      </c>
      <c r="AH543" s="1757"/>
      <c r="AI543" s="1757"/>
      <c r="AJ543" s="1757"/>
      <c r="AK543" s="1758"/>
      <c r="AM543" s="72"/>
      <c r="AN543" s="72"/>
      <c r="AO543" s="72"/>
      <c r="AP543" s="72"/>
      <c r="AQ543" s="72"/>
      <c r="AR543" s="72"/>
      <c r="AS543" s="72"/>
      <c r="AT543" s="72"/>
      <c r="AU543" s="72"/>
      <c r="AV543" s="72"/>
      <c r="AW543" s="72"/>
      <c r="AX543" s="72"/>
      <c r="AY543" s="72"/>
      <c r="AZ543" s="72"/>
      <c r="BA543" s="72"/>
      <c r="BB543" s="72"/>
      <c r="BC543" s="72"/>
      <c r="BD543" s="72"/>
      <c r="BE543" s="72"/>
      <c r="BF543" s="72"/>
      <c r="BG543" s="72"/>
      <c r="BH543" s="72"/>
      <c r="BI543" s="72"/>
      <c r="BJ543" s="72"/>
      <c r="BK543" s="72"/>
      <c r="BL543" s="72"/>
      <c r="BM543" s="72"/>
      <c r="BN543" s="72"/>
      <c r="BO543" s="72"/>
      <c r="BP543" s="72"/>
      <c r="BQ543" s="72"/>
      <c r="BR543" s="72"/>
      <c r="BS543" s="72"/>
      <c r="BT543" s="72"/>
      <c r="BU543" s="72"/>
      <c r="BV543" s="72"/>
      <c r="BW543" s="72"/>
      <c r="BX543" s="72"/>
      <c r="BY543" s="72"/>
      <c r="BZ543" s="72"/>
      <c r="CA543" s="72"/>
      <c r="CB543" s="72"/>
      <c r="CC543" s="72"/>
      <c r="CD543" s="72"/>
      <c r="CE543" s="72"/>
      <c r="CF543" s="72"/>
      <c r="CG543" s="72"/>
    </row>
    <row r="544" spans="2:97" ht="12.75" customHeight="1">
      <c r="B544" s="1870"/>
      <c r="C544" s="1871"/>
      <c r="D544" s="1871"/>
      <c r="E544" s="1871"/>
      <c r="F544" s="1871"/>
      <c r="G544" s="1871"/>
      <c r="H544" s="1872"/>
      <c r="I544" s="86" t="s">
        <v>802</v>
      </c>
      <c r="J544" s="86"/>
      <c r="K544" s="86"/>
      <c r="L544" s="86"/>
      <c r="M544" s="86"/>
      <c r="N544" s="86"/>
      <c r="O544" s="86"/>
      <c r="P544" s="86"/>
      <c r="Q544" s="86"/>
      <c r="R544" s="86"/>
      <c r="S544" s="86"/>
      <c r="T544" s="86"/>
      <c r="U544" s="86"/>
      <c r="V544" s="86"/>
      <c r="W544" s="86"/>
      <c r="X544" s="35"/>
      <c r="Y544" s="35"/>
      <c r="AC544" s="1865">
        <v>12</v>
      </c>
      <c r="AD544" s="1866"/>
      <c r="AE544" s="1866"/>
      <c r="AF544" s="1866"/>
      <c r="AG544" s="79" t="s">
        <v>276</v>
      </c>
      <c r="AH544" s="1757">
        <v>2021</v>
      </c>
      <c r="AI544" s="1757"/>
      <c r="AJ544" s="1757"/>
      <c r="AK544" s="1758"/>
      <c r="AM544" s="72"/>
      <c r="AN544" s="72"/>
      <c r="AO544" s="72"/>
      <c r="AP544" s="72"/>
      <c r="AQ544" s="72"/>
      <c r="AR544" s="72"/>
      <c r="AS544" s="72"/>
      <c r="AT544" s="72"/>
      <c r="AU544" s="72"/>
      <c r="AV544" s="72"/>
      <c r="AW544" s="72"/>
      <c r="AX544" s="72"/>
      <c r="AY544" s="72"/>
      <c r="AZ544" s="72"/>
      <c r="BA544" s="72"/>
      <c r="BB544" s="72"/>
      <c r="BC544" s="72"/>
      <c r="BD544" s="72"/>
      <c r="BE544" s="72"/>
      <c r="BF544" s="72"/>
      <c r="BG544" s="72"/>
      <c r="BH544" s="72"/>
      <c r="BI544" s="72"/>
      <c r="BJ544" s="72"/>
      <c r="BK544" s="72"/>
      <c r="BL544" s="72"/>
      <c r="BM544" s="72"/>
      <c r="BN544" s="72"/>
      <c r="BO544" s="72"/>
      <c r="BP544" s="72"/>
      <c r="BQ544" s="72"/>
      <c r="BR544" s="72"/>
      <c r="BS544" s="72"/>
      <c r="BT544" s="72"/>
      <c r="BU544" s="72"/>
      <c r="BV544" s="72"/>
      <c r="BW544" s="72"/>
      <c r="BX544" s="72"/>
      <c r="BY544" s="72"/>
      <c r="BZ544" s="72"/>
      <c r="CA544" s="72"/>
      <c r="CB544" s="72"/>
      <c r="CC544" s="72"/>
      <c r="CD544" s="72"/>
      <c r="CE544" s="72"/>
      <c r="CF544" s="72"/>
      <c r="CG544" s="72"/>
    </row>
    <row r="545" spans="1:97" ht="14.1" customHeight="1">
      <c r="B545" s="1870"/>
      <c r="C545" s="1871"/>
      <c r="D545" s="1871"/>
      <c r="E545" s="1871"/>
      <c r="F545" s="1871"/>
      <c r="G545" s="1871"/>
      <c r="H545" s="1872"/>
      <c r="I545" s="35" t="s">
        <v>803</v>
      </c>
      <c r="J545" s="35"/>
      <c r="K545" s="35"/>
      <c r="L545" s="35"/>
      <c r="M545" s="35"/>
      <c r="N545" s="35"/>
      <c r="O545" s="35"/>
      <c r="P545" s="35"/>
      <c r="Q545" s="35"/>
      <c r="R545" s="35"/>
      <c r="S545" s="35"/>
      <c r="T545" s="35"/>
      <c r="U545" s="35"/>
      <c r="V545" s="35"/>
      <c r="W545" s="35"/>
      <c r="X545" s="35"/>
      <c r="Y545" s="35"/>
      <c r="AC545" s="1865">
        <v>12</v>
      </c>
      <c r="AD545" s="1866"/>
      <c r="AE545" s="1866"/>
      <c r="AF545" s="1866"/>
      <c r="AG545" s="89" t="s">
        <v>276</v>
      </c>
      <c r="AH545" s="1757">
        <v>2021</v>
      </c>
      <c r="AI545" s="1757"/>
      <c r="AJ545" s="1757"/>
      <c r="AK545" s="1758"/>
      <c r="AM545" s="72"/>
      <c r="AN545" s="72"/>
      <c r="AO545" s="72"/>
      <c r="AP545" s="72"/>
      <c r="AQ545" s="72"/>
      <c r="AR545" s="72"/>
      <c r="AS545" s="72"/>
      <c r="AT545" s="72"/>
      <c r="AU545" s="72"/>
      <c r="AV545" s="72"/>
      <c r="AW545" s="72"/>
      <c r="AX545" s="72"/>
      <c r="AY545" s="72"/>
      <c r="AZ545" s="72"/>
      <c r="BA545" s="72"/>
      <c r="BB545" s="72"/>
      <c r="BC545" s="72"/>
      <c r="BD545" s="72"/>
      <c r="BE545" s="72"/>
      <c r="BF545" s="72"/>
      <c r="BG545" s="72"/>
      <c r="BH545" s="72"/>
      <c r="BI545" s="72"/>
      <c r="BJ545" s="72"/>
      <c r="BK545" s="72"/>
      <c r="BL545" s="72"/>
      <c r="BM545" s="72"/>
      <c r="BN545" s="72"/>
      <c r="BO545" s="72"/>
      <c r="BP545" s="72"/>
      <c r="BQ545" s="72"/>
      <c r="BR545" s="72"/>
      <c r="BS545" s="72"/>
      <c r="BT545" s="72"/>
      <c r="BU545" s="72"/>
      <c r="BV545" s="72"/>
      <c r="BW545" s="72"/>
      <c r="BX545" s="72"/>
      <c r="BY545" s="72"/>
      <c r="BZ545" s="72"/>
      <c r="CA545" s="72"/>
      <c r="CB545" s="72"/>
      <c r="CC545" s="72"/>
      <c r="CD545" s="72"/>
      <c r="CE545" s="72"/>
      <c r="CF545" s="72"/>
      <c r="CG545" s="72"/>
    </row>
    <row r="546" spans="1:97" ht="13.2">
      <c r="B546" s="1870"/>
      <c r="C546" s="1871"/>
      <c r="D546" s="1871"/>
      <c r="E546" s="1871"/>
      <c r="F546" s="1871"/>
      <c r="G546" s="1871"/>
      <c r="H546" s="1872"/>
      <c r="I546" s="35" t="s">
        <v>804</v>
      </c>
      <c r="J546" s="35"/>
      <c r="K546" s="35"/>
      <c r="L546" s="35"/>
      <c r="M546" s="35"/>
      <c r="N546" s="35"/>
      <c r="O546" s="35"/>
      <c r="P546" s="35"/>
      <c r="Q546" s="35"/>
      <c r="R546" s="35"/>
      <c r="S546" s="35"/>
      <c r="T546" s="35"/>
      <c r="U546" s="35"/>
      <c r="V546" s="35"/>
      <c r="W546" s="35"/>
      <c r="X546" s="35"/>
      <c r="Y546" s="35"/>
      <c r="AC546" s="1865">
        <v>3</v>
      </c>
      <c r="AD546" s="1866"/>
      <c r="AE546" s="1866"/>
      <c r="AF546" s="1866"/>
      <c r="AG546" s="79" t="s">
        <v>276</v>
      </c>
      <c r="AH546" s="1757">
        <v>2023</v>
      </c>
      <c r="AI546" s="1757"/>
      <c r="AJ546" s="1757"/>
      <c r="AK546" s="1758"/>
      <c r="AM546" s="72"/>
      <c r="AN546" s="72"/>
      <c r="AO546" s="72"/>
      <c r="AP546" s="72"/>
      <c r="AQ546" s="72"/>
      <c r="AR546" s="72"/>
      <c r="AS546" s="72"/>
      <c r="AT546" s="72"/>
      <c r="AU546" s="72"/>
      <c r="AV546" s="72"/>
      <c r="AW546" s="72"/>
      <c r="AX546" s="72"/>
      <c r="AY546" s="72"/>
      <c r="AZ546" s="72"/>
      <c r="BA546" s="72"/>
      <c r="BB546" s="72"/>
      <c r="BC546" s="72"/>
      <c r="BD546" s="72"/>
      <c r="BE546" s="72"/>
      <c r="BF546" s="72"/>
      <c r="BG546" s="72"/>
      <c r="BH546" s="72"/>
      <c r="BI546" s="72"/>
      <c r="BJ546" s="72"/>
      <c r="BK546" s="72"/>
      <c r="BL546" s="72"/>
      <c r="BM546" s="72"/>
      <c r="BN546" s="72"/>
      <c r="BO546" s="72"/>
      <c r="BP546" s="72"/>
      <c r="BQ546" s="72"/>
      <c r="BR546" s="72"/>
      <c r="BS546" s="72"/>
      <c r="BT546" s="72"/>
      <c r="BU546" s="72"/>
      <c r="BV546" s="72"/>
      <c r="BW546" s="72"/>
      <c r="BX546" s="72"/>
      <c r="BY546" s="72"/>
      <c r="BZ546" s="72"/>
      <c r="CA546" s="72"/>
      <c r="CB546" s="72"/>
      <c r="CC546" s="72"/>
      <c r="CD546" s="72"/>
      <c r="CE546" s="72"/>
      <c r="CF546" s="72"/>
      <c r="CG546" s="72"/>
    </row>
    <row r="547" spans="1:97" ht="13.2">
      <c r="B547" s="1870"/>
      <c r="C547" s="1871"/>
      <c r="D547" s="1871"/>
      <c r="E547" s="1871"/>
      <c r="F547" s="1871"/>
      <c r="G547" s="1871"/>
      <c r="H547" s="1872"/>
      <c r="I547" s="35" t="s">
        <v>805</v>
      </c>
      <c r="J547" s="35"/>
      <c r="K547" s="35"/>
      <c r="L547" s="35"/>
      <c r="M547" s="35"/>
      <c r="N547" s="35"/>
      <c r="O547" s="35"/>
      <c r="P547" s="35"/>
      <c r="Q547" s="35"/>
      <c r="R547" s="35"/>
      <c r="S547" s="35"/>
      <c r="T547" s="35"/>
      <c r="U547" s="35"/>
      <c r="V547" s="35"/>
      <c r="W547" s="35"/>
      <c r="X547" s="35"/>
      <c r="Y547" s="35"/>
      <c r="AC547" s="1865">
        <v>3</v>
      </c>
      <c r="AD547" s="1866"/>
      <c r="AE547" s="1866"/>
      <c r="AF547" s="1866"/>
      <c r="AG547" s="79" t="s">
        <v>276</v>
      </c>
      <c r="AH547" s="1757">
        <v>2023</v>
      </c>
      <c r="AI547" s="1757"/>
      <c r="AJ547" s="1757"/>
      <c r="AK547" s="1758"/>
      <c r="AM547" s="72"/>
      <c r="AN547" s="72"/>
      <c r="AO547" s="72"/>
      <c r="AP547" s="72"/>
      <c r="AQ547" s="72"/>
      <c r="AR547" s="72"/>
      <c r="AS547" s="72"/>
      <c r="AT547" s="72"/>
      <c r="AU547" s="72"/>
      <c r="AV547" s="72"/>
      <c r="AW547" s="72"/>
      <c r="AX547" s="72"/>
      <c r="AY547" s="72"/>
      <c r="AZ547" s="72"/>
      <c r="BA547" s="72"/>
      <c r="BB547" s="72"/>
      <c r="BC547" s="72"/>
      <c r="BD547" s="72"/>
      <c r="BE547" s="72"/>
      <c r="BF547" s="72"/>
      <c r="BG547" s="72"/>
      <c r="BH547" s="72"/>
      <c r="BI547" s="72"/>
      <c r="BJ547" s="72"/>
      <c r="BK547" s="72"/>
      <c r="BL547" s="72"/>
      <c r="BM547" s="72"/>
      <c r="BN547" s="72"/>
      <c r="BO547" s="72"/>
      <c r="BP547" s="72"/>
      <c r="BQ547" s="72"/>
      <c r="BR547" s="72"/>
      <c r="BS547" s="72"/>
      <c r="BT547" s="72"/>
      <c r="BU547" s="72"/>
      <c r="BV547" s="72"/>
      <c r="BW547" s="72"/>
      <c r="BX547" s="72"/>
      <c r="BY547" s="72"/>
      <c r="BZ547" s="72"/>
      <c r="CA547" s="72"/>
      <c r="CB547" s="72"/>
      <c r="CC547" s="72"/>
      <c r="CD547" s="72"/>
      <c r="CE547" s="72"/>
      <c r="CF547" s="72"/>
      <c r="CG547" s="72"/>
    </row>
    <row r="548" spans="1:97" ht="13.2">
      <c r="B548" s="1873"/>
      <c r="C548" s="1874"/>
      <c r="D548" s="1874"/>
      <c r="E548" s="1874"/>
      <c r="F548" s="1874"/>
      <c r="G548" s="1874"/>
      <c r="H548" s="1875"/>
      <c r="I548" s="94" t="s">
        <v>1520</v>
      </c>
      <c r="J548" s="94"/>
      <c r="K548" s="94"/>
      <c r="L548" s="94"/>
      <c r="M548" s="94"/>
      <c r="N548" s="94"/>
      <c r="O548" s="94"/>
      <c r="P548" s="94"/>
      <c r="Q548" s="94"/>
      <c r="R548" s="94"/>
      <c r="S548" s="94"/>
      <c r="T548" s="94"/>
      <c r="U548" s="94"/>
      <c r="V548" s="94"/>
      <c r="W548" s="94"/>
      <c r="X548" s="94"/>
      <c r="Y548" s="94"/>
      <c r="Z548" s="94"/>
      <c r="AA548" s="94"/>
      <c r="AB548" s="94"/>
      <c r="AC548" s="1865">
        <v>6</v>
      </c>
      <c r="AD548" s="1866"/>
      <c r="AE548" s="1866"/>
      <c r="AF548" s="1866"/>
      <c r="AG548" s="79" t="s">
        <v>276</v>
      </c>
      <c r="AH548" s="1757">
        <v>2023</v>
      </c>
      <c r="AI548" s="1757"/>
      <c r="AJ548" s="1757"/>
      <c r="AK548" s="1758"/>
      <c r="AM548" s="72"/>
      <c r="AN548" s="72"/>
      <c r="AO548" s="72"/>
      <c r="AP548" s="72"/>
      <c r="AQ548" s="72"/>
      <c r="AR548" s="72"/>
      <c r="AS548" s="72"/>
      <c r="AT548" s="72"/>
      <c r="AU548" s="72"/>
      <c r="AV548" s="72"/>
      <c r="AW548" s="72"/>
      <c r="AX548" s="72"/>
      <c r="AY548" s="72"/>
      <c r="AZ548" s="72"/>
      <c r="BA548" s="72"/>
      <c r="BB548" s="72"/>
      <c r="BC548" s="72"/>
      <c r="BD548" s="72"/>
      <c r="BE548" s="72"/>
      <c r="BF548" s="72"/>
      <c r="BG548" s="72"/>
      <c r="BH548" s="72"/>
      <c r="BI548" s="72"/>
      <c r="BJ548" s="72"/>
      <c r="BK548" s="72"/>
      <c r="BL548" s="72"/>
      <c r="BM548" s="72"/>
      <c r="BN548" s="72"/>
      <c r="BO548" s="72"/>
      <c r="BP548" s="72"/>
      <c r="BQ548" s="72"/>
      <c r="BR548" s="72"/>
      <c r="BS548" s="72"/>
      <c r="BT548" s="72"/>
      <c r="BU548" s="72"/>
      <c r="BV548" s="72"/>
      <c r="BW548" s="72"/>
      <c r="BX548" s="72"/>
      <c r="BY548" s="72"/>
      <c r="BZ548" s="72"/>
      <c r="CA548" s="72"/>
      <c r="CB548" s="72"/>
      <c r="CC548" s="72"/>
      <c r="CD548" s="72"/>
      <c r="CE548" s="72"/>
      <c r="CF548" s="72"/>
      <c r="CG548" s="72"/>
    </row>
    <row r="549" spans="1:97" ht="13.2">
      <c r="AO549" s="72"/>
      <c r="AP549" s="72"/>
      <c r="AQ549" s="72"/>
      <c r="AR549" s="72"/>
      <c r="AS549" s="72"/>
      <c r="AT549" s="72"/>
      <c r="AU549" s="72"/>
      <c r="AV549" s="72"/>
      <c r="AW549" s="72"/>
      <c r="AX549" s="72"/>
      <c r="AY549" s="72"/>
      <c r="AZ549" s="72"/>
      <c r="BA549" s="72"/>
      <c r="BB549" s="72"/>
      <c r="BC549" s="72"/>
      <c r="BD549" s="72"/>
      <c r="BE549" s="72"/>
      <c r="BF549" s="72"/>
      <c r="BG549" s="72"/>
      <c r="BH549" s="72"/>
      <c r="BI549" s="72"/>
      <c r="BJ549" s="72"/>
      <c r="BK549" s="72"/>
      <c r="BL549" s="72"/>
      <c r="BM549" s="72"/>
      <c r="BN549" s="72"/>
      <c r="BO549" s="72"/>
      <c r="BP549" s="72"/>
      <c r="BQ549" s="72"/>
      <c r="BR549" s="72"/>
      <c r="BS549" s="72"/>
      <c r="BT549" s="72"/>
      <c r="BU549" s="72"/>
      <c r="BV549" s="72"/>
      <c r="BW549" s="72"/>
      <c r="BX549" s="72"/>
      <c r="BY549" s="72"/>
      <c r="BZ549" s="72"/>
      <c r="CA549" s="72"/>
      <c r="CB549" s="72"/>
      <c r="CC549" s="72"/>
      <c r="CD549" s="72"/>
      <c r="CE549" s="72"/>
      <c r="CF549" s="72"/>
      <c r="CG549" s="72"/>
    </row>
    <row r="550" spans="1:97" ht="12.75" customHeight="1">
      <c r="A550" s="1525" t="s">
        <v>547</v>
      </c>
      <c r="B550" s="1525"/>
      <c r="C550" s="1525"/>
      <c r="D550" s="1525"/>
      <c r="E550" s="1525"/>
      <c r="F550" s="1525"/>
      <c r="G550" s="1525"/>
      <c r="H550" s="1525"/>
      <c r="I550" s="1525"/>
      <c r="J550" s="1525"/>
      <c r="K550" s="1525"/>
      <c r="L550" s="1525"/>
      <c r="M550" s="1525"/>
      <c r="N550" s="1525"/>
      <c r="O550" s="1525"/>
      <c r="P550" s="1525"/>
      <c r="Q550" s="1525"/>
      <c r="R550" s="1525"/>
      <c r="S550" s="1525"/>
      <c r="T550" s="1525"/>
      <c r="U550" s="1525"/>
      <c r="V550" s="1525"/>
      <c r="W550" s="1525"/>
      <c r="X550" s="1525"/>
      <c r="Y550" s="1525"/>
      <c r="Z550" s="1525"/>
      <c r="AA550" s="1525"/>
      <c r="AB550" s="1525"/>
      <c r="AC550" s="1525"/>
      <c r="AD550" s="1525"/>
      <c r="AE550" s="1525"/>
      <c r="AF550" s="1525"/>
      <c r="AG550" s="1525"/>
      <c r="AH550" s="1525"/>
      <c r="AI550" s="1525"/>
      <c r="AJ550" s="1525"/>
      <c r="AK550" s="1525"/>
      <c r="AL550" s="1525"/>
      <c r="AM550" s="1525"/>
      <c r="AN550" s="1525"/>
      <c r="AO550" s="1525"/>
      <c r="AP550" s="1525"/>
      <c r="AQ550" s="1525"/>
      <c r="AR550" s="1525"/>
      <c r="AS550" s="1525"/>
      <c r="AT550" s="72"/>
      <c r="AU550" s="72"/>
      <c r="AV550" s="72"/>
      <c r="AW550" s="72"/>
      <c r="AX550" s="72"/>
      <c r="AY550" s="72"/>
      <c r="AZ550" s="72"/>
      <c r="BA550" s="72"/>
      <c r="BB550" s="72"/>
      <c r="BC550" s="72"/>
      <c r="BD550" s="72"/>
      <c r="BE550" s="72"/>
      <c r="BF550" s="72"/>
      <c r="BG550" s="72"/>
      <c r="BH550" s="72"/>
      <c r="BI550" s="72"/>
      <c r="BJ550" s="72"/>
      <c r="BK550" s="72"/>
      <c r="BL550" s="72"/>
      <c r="BM550" s="72"/>
      <c r="BN550" s="72"/>
      <c r="BO550" s="72"/>
      <c r="BP550" s="72"/>
      <c r="BQ550" s="72"/>
      <c r="BR550" s="72"/>
      <c r="BS550" s="72"/>
      <c r="BT550" s="72"/>
      <c r="BU550" s="72"/>
      <c r="BV550" s="72"/>
      <c r="BW550" s="72"/>
      <c r="BX550" s="72"/>
      <c r="BY550" s="72"/>
      <c r="BZ550" s="72"/>
      <c r="CA550" s="72"/>
      <c r="CB550" s="72"/>
      <c r="CC550" s="72"/>
      <c r="CD550" s="72"/>
      <c r="CE550" s="72"/>
      <c r="CF550" s="72"/>
      <c r="CG550" s="72"/>
    </row>
    <row r="551" spans="1:97" ht="13.2">
      <c r="A551" s="1525"/>
      <c r="B551" s="1525"/>
      <c r="C551" s="1525"/>
      <c r="D551" s="1525"/>
      <c r="E551" s="1525"/>
      <c r="F551" s="1525"/>
      <c r="G551" s="1525"/>
      <c r="H551" s="1525"/>
      <c r="I551" s="1525"/>
      <c r="J551" s="1525"/>
      <c r="K551" s="1525"/>
      <c r="L551" s="1525"/>
      <c r="M551" s="1525"/>
      <c r="N551" s="1525"/>
      <c r="O551" s="1525"/>
      <c r="P551" s="1525"/>
      <c r="Q551" s="1525"/>
      <c r="R551" s="1525"/>
      <c r="S551" s="1525"/>
      <c r="T551" s="1525"/>
      <c r="U551" s="1525"/>
      <c r="V551" s="1525"/>
      <c r="W551" s="1525"/>
      <c r="X551" s="1525"/>
      <c r="Y551" s="1525"/>
      <c r="Z551" s="1525"/>
      <c r="AA551" s="1525"/>
      <c r="AB551" s="1525"/>
      <c r="AC551" s="1525"/>
      <c r="AD551" s="1525"/>
      <c r="AE551" s="1525"/>
      <c r="AF551" s="1525"/>
      <c r="AG551" s="1525"/>
      <c r="AH551" s="1525"/>
      <c r="AI551" s="1525"/>
      <c r="AJ551" s="1525"/>
      <c r="AK551" s="1525"/>
      <c r="AL551" s="1525"/>
      <c r="AM551" s="1525"/>
      <c r="AN551" s="1525"/>
      <c r="AO551" s="1525"/>
      <c r="AP551" s="1525"/>
      <c r="AQ551" s="1525"/>
      <c r="AR551" s="1525"/>
      <c r="AS551" s="1525"/>
      <c r="AT551" s="72"/>
      <c r="AU551" s="72"/>
      <c r="AV551" s="72"/>
      <c r="AW551" s="72"/>
      <c r="AX551" s="72"/>
      <c r="AY551" s="72"/>
      <c r="AZ551" s="72"/>
      <c r="BA551" s="72"/>
      <c r="BB551" s="72"/>
      <c r="BC551" s="72"/>
      <c r="BD551" s="72"/>
      <c r="BE551" s="72"/>
      <c r="BF551" s="72"/>
      <c r="BG551" s="72"/>
      <c r="BH551" s="72"/>
      <c r="BI551" s="72"/>
      <c r="BJ551" s="72"/>
      <c r="BK551" s="72"/>
      <c r="BL551" s="72"/>
      <c r="BM551" s="72"/>
      <c r="BN551" s="72"/>
      <c r="BO551" s="72"/>
      <c r="BP551" s="72"/>
      <c r="BQ551" s="72"/>
      <c r="BR551" s="72"/>
      <c r="BS551" s="72"/>
      <c r="BT551" s="72"/>
      <c r="BU551" s="72"/>
      <c r="BV551" s="72"/>
      <c r="BW551" s="72"/>
      <c r="BX551" s="72"/>
      <c r="BY551" s="72"/>
      <c r="BZ551" s="72"/>
      <c r="CA551" s="72"/>
      <c r="CB551" s="72"/>
      <c r="CC551" s="72"/>
      <c r="CD551" s="72"/>
      <c r="CE551" s="72"/>
      <c r="CF551" s="72"/>
      <c r="CG551" s="72"/>
    </row>
    <row r="552" spans="1:97" ht="13.2">
      <c r="A552" s="35"/>
      <c r="B552" s="35"/>
      <c r="C552" s="35"/>
      <c r="D552" s="35"/>
      <c r="E552" s="35"/>
      <c r="F552" s="35"/>
      <c r="G552" s="3"/>
      <c r="H552" s="35"/>
      <c r="AM552" s="50"/>
      <c r="AN552" s="50"/>
      <c r="AO552" s="50"/>
      <c r="AP552" s="50"/>
      <c r="AQ552" s="50"/>
      <c r="AR552" s="50"/>
      <c r="AS552" s="50"/>
      <c r="AT552" s="72"/>
      <c r="AU552" s="72"/>
      <c r="AV552" s="72"/>
      <c r="AW552" s="72"/>
      <c r="AX552" s="72"/>
      <c r="AY552" s="72"/>
      <c r="AZ552" s="72"/>
      <c r="BA552" s="72"/>
      <c r="BB552" s="72"/>
      <c r="BC552" s="72"/>
      <c r="BD552" s="72"/>
      <c r="BE552" s="72"/>
      <c r="BF552" s="72"/>
      <c r="BG552" s="72"/>
      <c r="BH552" s="72"/>
      <c r="BI552" s="72"/>
      <c r="BJ552" s="72"/>
      <c r="BK552" s="72"/>
      <c r="BL552" s="72"/>
      <c r="BM552" s="72"/>
      <c r="BN552" s="72"/>
      <c r="BO552" s="72"/>
      <c r="BP552" s="72"/>
      <c r="BQ552" s="72"/>
      <c r="BR552" s="72"/>
      <c r="BS552" s="72"/>
      <c r="BT552" s="72"/>
      <c r="BU552" s="72"/>
      <c r="BV552" s="72"/>
      <c r="BW552" s="72"/>
      <c r="BX552" s="72"/>
      <c r="BY552" s="72"/>
      <c r="BZ552" s="72"/>
      <c r="CA552" s="72"/>
      <c r="CB552" s="72"/>
      <c r="CC552" s="72"/>
      <c r="CD552" s="72"/>
      <c r="CE552" s="72"/>
      <c r="CF552" s="72"/>
      <c r="CG552" s="72"/>
    </row>
    <row r="553" spans="1:97" ht="13.2">
      <c r="A553" s="63" t="s">
        <v>719</v>
      </c>
      <c r="B553" s="63"/>
      <c r="C553" s="63" t="s">
        <v>806</v>
      </c>
      <c r="AM553" s="50"/>
      <c r="AN553" s="50"/>
      <c r="AO553" s="50"/>
      <c r="AP553" s="50"/>
      <c r="AQ553" s="50"/>
      <c r="AR553" s="50"/>
      <c r="AS553" s="50"/>
      <c r="AT553" s="72"/>
      <c r="AU553" s="72"/>
      <c r="AV553" s="72"/>
      <c r="AW553" s="72"/>
      <c r="AX553" s="72"/>
      <c r="AY553" s="72"/>
      <c r="BA553" s="72"/>
      <c r="BB553" s="72"/>
      <c r="BC553" s="72"/>
      <c r="BD553" s="72"/>
      <c r="BE553" s="72"/>
      <c r="BF553" s="72"/>
      <c r="BG553" s="72"/>
      <c r="BH553" s="72"/>
      <c r="BI553" s="72"/>
      <c r="BJ553" s="72"/>
      <c r="BK553" s="72"/>
      <c r="BL553" s="72"/>
      <c r="BM553" s="72"/>
      <c r="BN553" s="72"/>
      <c r="BO553" s="72"/>
      <c r="BP553" s="72"/>
      <c r="BQ553" s="72"/>
      <c r="BR553" s="72"/>
      <c r="BS553" s="72"/>
      <c r="BT553" s="72"/>
      <c r="BU553" s="72"/>
      <c r="BV553" s="72"/>
      <c r="BW553" s="72"/>
      <c r="BX553" s="72"/>
      <c r="BY553" s="72"/>
      <c r="BZ553" s="72"/>
      <c r="CA553" s="72"/>
      <c r="CB553" s="72"/>
      <c r="CC553" s="72"/>
      <c r="CD553" s="72"/>
      <c r="CE553" s="72"/>
      <c r="CF553" s="72"/>
      <c r="CG553" s="72"/>
    </row>
    <row r="554" spans="1:97" ht="13.2">
      <c r="A554" s="63"/>
      <c r="B554" s="63"/>
      <c r="C554" s="63"/>
      <c r="AM554" s="50"/>
      <c r="AN554" s="50"/>
      <c r="AO554" s="50"/>
      <c r="AP554" s="50"/>
      <c r="AQ554" s="50"/>
      <c r="AR554" s="50"/>
      <c r="AS554" s="50"/>
      <c r="AT554" s="72"/>
      <c r="AU554" s="72"/>
      <c r="AV554" s="72"/>
      <c r="AW554" s="72"/>
      <c r="AX554" s="72"/>
      <c r="AY554" s="72"/>
      <c r="BA554" s="72"/>
      <c r="BB554" s="72"/>
      <c r="BC554" s="72"/>
      <c r="BD554" s="72"/>
      <c r="BE554" s="72"/>
      <c r="BF554" s="72"/>
      <c r="BG554" s="72"/>
      <c r="BH554" s="72"/>
      <c r="BI554" s="72"/>
      <c r="BJ554" s="72"/>
      <c r="BK554" s="72"/>
      <c r="BL554" s="72"/>
      <c r="BM554" s="72"/>
      <c r="BN554" s="72"/>
      <c r="BO554" s="72"/>
      <c r="BP554" s="72"/>
      <c r="BQ554" s="72"/>
      <c r="BR554" s="72"/>
      <c r="BS554" s="72"/>
      <c r="BT554" s="72"/>
      <c r="BU554" s="72"/>
      <c r="BV554" s="72"/>
      <c r="BW554" s="72"/>
      <c r="BX554" s="72"/>
      <c r="BY554" s="72"/>
      <c r="BZ554" s="72"/>
      <c r="CA554" s="72"/>
      <c r="CB554" s="72"/>
      <c r="CC554" s="72"/>
      <c r="CD554" s="72"/>
      <c r="CE554" s="72"/>
      <c r="CF554" s="72"/>
      <c r="CG554" s="72"/>
    </row>
    <row r="555" spans="1:97" ht="13.2">
      <c r="A555" s="63"/>
      <c r="B555" s="63"/>
      <c r="C555" s="63"/>
      <c r="D555" s="62" t="s">
        <v>2288</v>
      </c>
      <c r="AM555" s="50"/>
      <c r="AN555" s="50"/>
      <c r="AO555" s="50"/>
      <c r="AP555" s="50"/>
      <c r="AQ555" s="50"/>
      <c r="AR555" s="50"/>
      <c r="AS555" s="50"/>
      <c r="AT555" s="72"/>
      <c r="AU555" s="72"/>
      <c r="AV555" s="72"/>
      <c r="AW555" s="72"/>
      <c r="AX555" s="72"/>
      <c r="AY555" s="72"/>
      <c r="AZ555" s="72"/>
      <c r="BA555" s="72"/>
      <c r="BB555" s="72"/>
      <c r="BC555" s="72"/>
      <c r="BD555" s="72"/>
      <c r="BE555" s="72"/>
      <c r="BF555" s="72"/>
      <c r="BG555" s="72"/>
      <c r="BH555" s="72"/>
      <c r="BI555" s="72"/>
      <c r="BJ555" s="72"/>
      <c r="BK555" s="72"/>
      <c r="BL555" s="72"/>
      <c r="BM555" s="72"/>
      <c r="BN555" s="72"/>
      <c r="BO555" s="72"/>
      <c r="BP555" s="72"/>
      <c r="BQ555" s="72"/>
      <c r="BR555" s="72"/>
      <c r="BS555" s="72"/>
      <c r="BT555" s="72"/>
      <c r="BU555" s="72"/>
      <c r="BV555" s="72"/>
      <c r="BW555" s="72"/>
      <c r="BX555" s="72"/>
      <c r="BY555" s="72"/>
      <c r="BZ555" s="72"/>
      <c r="CA555" s="72"/>
      <c r="CB555" s="72"/>
      <c r="CC555" s="72"/>
      <c r="CD555" s="72"/>
      <c r="CE555" s="72"/>
      <c r="CF555" s="72"/>
      <c r="CG555" s="72"/>
    </row>
    <row r="556" spans="1:97" ht="13.2">
      <c r="B556" s="1442"/>
      <c r="F556" s="35"/>
      <c r="G556" s="35"/>
      <c r="H556" s="35"/>
      <c r="I556" s="35"/>
      <c r="J556" s="35"/>
      <c r="K556" s="35"/>
      <c r="L556" s="35"/>
      <c r="M556" s="35"/>
      <c r="N556" s="35"/>
      <c r="O556" s="35"/>
      <c r="P556" s="35"/>
      <c r="Q556" s="35"/>
      <c r="R556" s="35"/>
      <c r="S556" s="35"/>
      <c r="T556" s="35"/>
      <c r="U556" s="35"/>
      <c r="V556" s="35"/>
      <c r="W556" s="35"/>
      <c r="X556" s="35"/>
      <c r="Y556" s="35"/>
      <c r="Z556" s="35"/>
      <c r="AA556" s="35"/>
      <c r="AB556" s="35"/>
      <c r="AC556" s="35"/>
      <c r="AD556" s="35"/>
      <c r="AE556" s="35"/>
      <c r="AF556" s="35"/>
      <c r="AM556" s="50"/>
      <c r="AN556" s="50"/>
      <c r="AO556" s="50"/>
      <c r="AP556" s="50"/>
      <c r="AQ556" s="50"/>
      <c r="AR556" s="50"/>
      <c r="AS556" s="50"/>
      <c r="AT556" s="72"/>
      <c r="AU556" s="72"/>
      <c r="AV556" s="72"/>
      <c r="AW556" s="72"/>
      <c r="AX556" s="72"/>
      <c r="AY556" s="72"/>
      <c r="AZ556" s="72"/>
      <c r="BA556" s="72"/>
      <c r="BB556" s="72"/>
      <c r="BC556" s="72"/>
      <c r="BD556" s="72"/>
      <c r="BE556" s="72"/>
      <c r="BF556" s="72"/>
      <c r="BG556" s="72"/>
      <c r="BH556" s="72"/>
      <c r="BI556" s="72"/>
      <c r="BJ556" s="72"/>
      <c r="BK556" s="72"/>
      <c r="BL556" s="72"/>
      <c r="BM556" s="72"/>
      <c r="BN556" s="72"/>
      <c r="BO556" s="72"/>
      <c r="BP556" s="72"/>
      <c r="BQ556" s="72"/>
      <c r="BR556" s="72"/>
      <c r="BS556" s="72"/>
      <c r="BT556" s="72"/>
      <c r="BU556" s="72"/>
      <c r="BV556" s="72"/>
      <c r="BW556" s="72"/>
      <c r="BX556" s="72"/>
      <c r="BY556" s="72"/>
      <c r="BZ556" s="72"/>
      <c r="CA556" s="72"/>
      <c r="CB556" s="72"/>
      <c r="CC556" s="72"/>
      <c r="CD556" s="72"/>
      <c r="CE556" s="72"/>
      <c r="CF556" s="72"/>
      <c r="CG556" s="72"/>
      <c r="CH556" s="72"/>
      <c r="CI556" s="72"/>
      <c r="CJ556" s="72"/>
      <c r="CK556" s="72"/>
      <c r="CL556" s="72"/>
      <c r="CM556" s="72"/>
      <c r="CN556" s="72"/>
      <c r="CO556" s="72"/>
      <c r="CP556" s="72"/>
      <c r="CQ556" s="72"/>
      <c r="CR556" s="72"/>
      <c r="CS556" s="72"/>
    </row>
    <row r="557" spans="1:97" ht="12.75" customHeight="1">
      <c r="B557" s="1878" t="s">
        <v>807</v>
      </c>
      <c r="C557" s="1947"/>
      <c r="D557" s="1947"/>
      <c r="E557" s="1947"/>
      <c r="F557" s="1947"/>
      <c r="G557" s="1947"/>
      <c r="H557" s="1947"/>
      <c r="I557" s="1947"/>
      <c r="J557" s="1947"/>
      <c r="K557" s="1947"/>
      <c r="L557" s="1947"/>
      <c r="M557" s="1947"/>
      <c r="N557" s="1947"/>
      <c r="O557" s="1947"/>
      <c r="P557" s="1948"/>
      <c r="Q557" s="1878" t="s">
        <v>489</v>
      </c>
      <c r="R557" s="1879"/>
      <c r="S557" s="1880"/>
      <c r="T557" s="1878" t="s">
        <v>2289</v>
      </c>
      <c r="U557" s="1879"/>
      <c r="V557" s="1880"/>
      <c r="W557" s="1878" t="s">
        <v>808</v>
      </c>
      <c r="X557" s="1879"/>
      <c r="Y557" s="1880"/>
      <c r="Z557" s="1878" t="s">
        <v>2294</v>
      </c>
      <c r="AA557" s="1879"/>
      <c r="AB557" s="1879"/>
      <c r="AC557" s="1879"/>
      <c r="AD557" s="1879"/>
      <c r="AE557" s="1878" t="s">
        <v>2291</v>
      </c>
      <c r="AF557" s="1879"/>
      <c r="AG557" s="1879"/>
      <c r="AH557" s="1880"/>
      <c r="AI557" s="1878" t="s">
        <v>2295</v>
      </c>
      <c r="AJ557" s="1879"/>
      <c r="AK557" s="1879"/>
      <c r="AL557" s="1880"/>
      <c r="AM557" s="1878" t="s">
        <v>809</v>
      </c>
      <c r="AN557" s="1879"/>
      <c r="AO557" s="1879"/>
      <c r="AP557" s="1879"/>
      <c r="AQ557" s="1879"/>
      <c r="AR557" s="1879"/>
      <c r="AS557" s="1880"/>
      <c r="AT557" s="72"/>
      <c r="AU557" s="72"/>
      <c r="AV557" s="72"/>
      <c r="AW557" s="72"/>
      <c r="AX557" s="72"/>
      <c r="AY557" s="72"/>
      <c r="AZ557" s="72"/>
      <c r="BA557" s="72"/>
      <c r="BB557" s="72"/>
      <c r="BC557" s="72"/>
      <c r="BD557" s="72"/>
      <c r="BE557" s="72"/>
      <c r="BF557" s="72"/>
      <c r="BG557" s="72"/>
      <c r="BH557" s="72"/>
      <c r="BI557" s="72"/>
      <c r="BJ557" s="72"/>
      <c r="BK557" s="72"/>
      <c r="BL557" s="72"/>
      <c r="BM557" s="72"/>
      <c r="BN557" s="72"/>
      <c r="BO557" s="72"/>
      <c r="BP557" s="72"/>
      <c r="BQ557" s="72"/>
      <c r="BR557" s="72"/>
      <c r="BS557" s="72"/>
      <c r="BT557" s="72"/>
      <c r="BU557" s="72"/>
      <c r="BV557" s="72"/>
      <c r="BW557" s="72"/>
      <c r="BX557" s="72"/>
      <c r="BY557" s="72"/>
      <c r="BZ557" s="72"/>
      <c r="CA557" s="72"/>
      <c r="CB557" s="72"/>
      <c r="CC557" s="72"/>
      <c r="CD557" s="72"/>
      <c r="CE557" s="72"/>
      <c r="CF557" s="72"/>
      <c r="CG557" s="72"/>
      <c r="CH557" s="72"/>
      <c r="CI557" s="72"/>
      <c r="CJ557" s="72"/>
      <c r="CK557" s="72"/>
      <c r="CL557" s="72"/>
      <c r="CM557" s="72"/>
      <c r="CN557" s="72"/>
      <c r="CO557" s="72"/>
      <c r="CP557" s="72"/>
      <c r="CQ557" s="72"/>
      <c r="CR557" s="72"/>
      <c r="CS557" s="72"/>
    </row>
    <row r="558" spans="1:97" ht="13.2">
      <c r="B558" s="97" t="s">
        <v>1004</v>
      </c>
      <c r="C558" s="1797" t="s">
        <v>2417</v>
      </c>
      <c r="D558" s="1797"/>
      <c r="E558" s="1797"/>
      <c r="F558" s="1797"/>
      <c r="G558" s="1797"/>
      <c r="H558" s="1797"/>
      <c r="I558" s="1797"/>
      <c r="J558" s="1797"/>
      <c r="K558" s="1797"/>
      <c r="L558" s="1797"/>
      <c r="M558" s="1797"/>
      <c r="N558" s="1797"/>
      <c r="O558" s="1797"/>
      <c r="P558" s="1798"/>
      <c r="Q558" s="1803">
        <v>25</v>
      </c>
      <c r="R558" s="1803"/>
      <c r="S558" s="1804"/>
      <c r="T558" s="1802"/>
      <c r="U558" s="1803"/>
      <c r="V558" s="1804"/>
      <c r="W558" s="1852">
        <v>3.5000000000000003E-2</v>
      </c>
      <c r="X558" s="1853"/>
      <c r="Y558" s="1854"/>
      <c r="Z558" s="1856" t="s">
        <v>2487</v>
      </c>
      <c r="AA558" s="1856"/>
      <c r="AB558" s="1856"/>
      <c r="AC558" s="1856"/>
      <c r="AD558" s="1856"/>
      <c r="AE558" s="1858">
        <v>1</v>
      </c>
      <c r="AF558" s="1859"/>
      <c r="AG558" s="1859"/>
      <c r="AH558" s="1860"/>
      <c r="AI558" s="1864" t="s">
        <v>119</v>
      </c>
      <c r="AJ558" s="1862"/>
      <c r="AK558" s="1862"/>
      <c r="AL558" s="1863"/>
      <c r="AM558" s="1743">
        <v>15993017</v>
      </c>
      <c r="AN558" s="1744"/>
      <c r="AO558" s="1744"/>
      <c r="AP558" s="1744"/>
      <c r="AQ558" s="1744"/>
      <c r="AR558" s="1744"/>
      <c r="AS558" s="1745"/>
      <c r="AT558" s="72"/>
      <c r="AU558" s="72"/>
      <c r="AV558" s="72"/>
      <c r="AW558" s="72"/>
      <c r="AX558" s="72"/>
      <c r="AY558" s="72"/>
      <c r="AZ558" s="72"/>
      <c r="BA558" s="72"/>
      <c r="BB558" s="72"/>
      <c r="BC558" s="72"/>
      <c r="BD558" s="72"/>
      <c r="BE558" s="72"/>
      <c r="BF558" s="72"/>
      <c r="BG558" s="72"/>
      <c r="BH558" s="72"/>
      <c r="BI558" s="72"/>
      <c r="BJ558" s="72"/>
      <c r="BK558" s="72"/>
      <c r="BL558" s="72"/>
      <c r="BM558" s="72"/>
      <c r="BN558" s="72"/>
      <c r="BO558" s="72"/>
      <c r="BP558" s="72"/>
      <c r="BQ558" s="72"/>
      <c r="BR558" s="72"/>
      <c r="BS558" s="72"/>
      <c r="BT558" s="72"/>
      <c r="BU558" s="72"/>
      <c r="BV558" s="72"/>
      <c r="BW558" s="72"/>
      <c r="BX558" s="72"/>
      <c r="BY558" s="72"/>
      <c r="BZ558" s="72"/>
      <c r="CA558" s="72"/>
      <c r="CB558" s="72"/>
      <c r="CC558" s="72"/>
      <c r="CD558" s="72"/>
      <c r="CE558" s="72"/>
      <c r="CF558" s="72"/>
      <c r="CG558" s="72"/>
      <c r="CH558" s="72"/>
      <c r="CI558" s="72"/>
      <c r="CJ558" s="72"/>
      <c r="CK558" s="72"/>
      <c r="CL558" s="72"/>
      <c r="CM558" s="72"/>
      <c r="CN558" s="72"/>
      <c r="CO558" s="72"/>
      <c r="CP558" s="72"/>
      <c r="CQ558" s="72"/>
      <c r="CR558" s="72"/>
      <c r="CS558" s="72"/>
    </row>
    <row r="559" spans="1:97" ht="13.2">
      <c r="B559" s="98" t="s">
        <v>1005</v>
      </c>
      <c r="C559" s="1797" t="s">
        <v>2414</v>
      </c>
      <c r="D559" s="1797"/>
      <c r="E559" s="1797"/>
      <c r="F559" s="1797"/>
      <c r="G559" s="1797"/>
      <c r="H559" s="1797"/>
      <c r="I559" s="1797"/>
      <c r="J559" s="1797"/>
      <c r="K559" s="1797"/>
      <c r="L559" s="1797"/>
      <c r="M559" s="1797"/>
      <c r="N559" s="1797"/>
      <c r="O559" s="1797"/>
      <c r="P559" s="1798"/>
      <c r="Q559" s="1802">
        <v>660</v>
      </c>
      <c r="R559" s="1803"/>
      <c r="S559" s="1804"/>
      <c r="T559" s="1802"/>
      <c r="U559" s="1803"/>
      <c r="V559" s="1804"/>
      <c r="W559" s="1852">
        <v>0.02</v>
      </c>
      <c r="X559" s="1853"/>
      <c r="Y559" s="1854"/>
      <c r="Z559" s="1856" t="s">
        <v>2488</v>
      </c>
      <c r="AA559" s="1856"/>
      <c r="AB559" s="1856"/>
      <c r="AC559" s="1856"/>
      <c r="AD559" s="1856"/>
      <c r="AE559" s="1858">
        <v>3</v>
      </c>
      <c r="AF559" s="1859"/>
      <c r="AG559" s="1859"/>
      <c r="AH559" s="1860"/>
      <c r="AI559" s="1861"/>
      <c r="AJ559" s="1862"/>
      <c r="AK559" s="1862"/>
      <c r="AL559" s="1863"/>
      <c r="AM559" s="1743">
        <v>1633112</v>
      </c>
      <c r="AN559" s="1744"/>
      <c r="AO559" s="1744"/>
      <c r="AP559" s="1744"/>
      <c r="AQ559" s="1744"/>
      <c r="AR559" s="1744"/>
      <c r="AS559" s="1745"/>
      <c r="AT559" s="72"/>
      <c r="AU559" s="72"/>
      <c r="AV559" s="72"/>
      <c r="AW559" s="72"/>
      <c r="AX559" s="72"/>
      <c r="AY559" s="72"/>
      <c r="AZ559" s="72"/>
      <c r="BA559" s="72"/>
      <c r="BB559" s="72"/>
      <c r="BC559" s="72"/>
      <c r="BD559" s="72"/>
      <c r="BE559" s="72"/>
      <c r="BF559" s="72"/>
      <c r="BG559" s="72"/>
      <c r="BH559" s="72"/>
      <c r="BI559" s="72"/>
      <c r="BJ559" s="72"/>
      <c r="BK559" s="72"/>
      <c r="BL559" s="72"/>
      <c r="BM559" s="72"/>
      <c r="BN559" s="72"/>
      <c r="BO559" s="72"/>
      <c r="BP559" s="72"/>
      <c r="BQ559" s="72"/>
      <c r="BR559" s="72"/>
      <c r="BS559" s="72"/>
      <c r="BT559" s="72"/>
      <c r="BU559" s="72"/>
      <c r="BV559" s="72"/>
      <c r="BW559" s="72"/>
      <c r="BX559" s="72"/>
      <c r="BY559" s="72"/>
      <c r="BZ559" s="72"/>
      <c r="CA559" s="72"/>
      <c r="CB559" s="72"/>
      <c r="CC559" s="72"/>
      <c r="CD559" s="72"/>
      <c r="CE559" s="72"/>
      <c r="CF559" s="72"/>
      <c r="CG559" s="72"/>
      <c r="CH559" s="72"/>
      <c r="CI559" s="72"/>
      <c r="CJ559" s="72"/>
      <c r="CK559" s="72"/>
      <c r="CL559" s="72"/>
      <c r="CM559" s="72"/>
      <c r="CN559" s="72"/>
      <c r="CO559" s="72"/>
      <c r="CP559" s="72"/>
      <c r="CQ559" s="72"/>
      <c r="CR559" s="72"/>
      <c r="CS559" s="72"/>
    </row>
    <row r="560" spans="1:97" ht="13.2">
      <c r="B560" s="98" t="s">
        <v>1011</v>
      </c>
      <c r="C560" s="1797"/>
      <c r="D560" s="1797"/>
      <c r="E560" s="1797"/>
      <c r="F560" s="1797"/>
      <c r="G560" s="1797"/>
      <c r="H560" s="1797"/>
      <c r="I560" s="1797"/>
      <c r="J560" s="1797"/>
      <c r="K560" s="1797"/>
      <c r="L560" s="1797"/>
      <c r="M560" s="1797"/>
      <c r="N560" s="1797"/>
      <c r="O560" s="1797"/>
      <c r="P560" s="1798"/>
      <c r="Q560" s="1802"/>
      <c r="R560" s="1803"/>
      <c r="S560" s="1804"/>
      <c r="T560" s="1802"/>
      <c r="U560" s="1803"/>
      <c r="V560" s="1804"/>
      <c r="W560" s="1852"/>
      <c r="X560" s="1853"/>
      <c r="Y560" s="1854"/>
      <c r="Z560" s="1856" t="s">
        <v>2275</v>
      </c>
      <c r="AA560" s="1856"/>
      <c r="AB560" s="1856"/>
      <c r="AC560" s="1856"/>
      <c r="AD560" s="1856"/>
      <c r="AE560" s="1858"/>
      <c r="AF560" s="1859"/>
      <c r="AG560" s="1859"/>
      <c r="AH560" s="1860"/>
      <c r="AI560" s="1861"/>
      <c r="AJ560" s="1862"/>
      <c r="AK560" s="1862"/>
      <c r="AL560" s="1863"/>
      <c r="AM560" s="1743"/>
      <c r="AN560" s="1744"/>
      <c r="AO560" s="1744"/>
      <c r="AP560" s="1744"/>
      <c r="AQ560" s="1744"/>
      <c r="AR560" s="1744"/>
      <c r="AS560" s="1745"/>
      <c r="AT560" s="72"/>
      <c r="AU560" s="72"/>
      <c r="AV560" s="72"/>
      <c r="AW560" s="72"/>
      <c r="AX560" s="72"/>
      <c r="AY560" s="72"/>
      <c r="AZ560" s="72"/>
      <c r="BA560" s="72"/>
      <c r="BB560" s="72"/>
      <c r="BC560" s="72"/>
      <c r="BD560" s="72"/>
      <c r="BE560" s="72"/>
      <c r="BF560" s="72"/>
      <c r="BG560" s="72"/>
      <c r="BH560" s="72"/>
      <c r="BI560" s="72"/>
      <c r="BJ560" s="72"/>
      <c r="BK560" s="72"/>
      <c r="BL560" s="72"/>
      <c r="BM560" s="72"/>
      <c r="BN560" s="72"/>
      <c r="BO560" s="72"/>
      <c r="BP560" s="72"/>
      <c r="BQ560" s="72"/>
      <c r="BR560" s="72"/>
      <c r="BS560" s="72"/>
      <c r="BT560" s="72"/>
      <c r="BU560" s="72"/>
      <c r="BV560" s="72"/>
      <c r="BW560" s="72"/>
      <c r="BX560" s="72"/>
      <c r="BY560" s="72"/>
      <c r="BZ560" s="72"/>
      <c r="CA560" s="72"/>
      <c r="CB560" s="72"/>
      <c r="CC560" s="72"/>
      <c r="CD560" s="72"/>
      <c r="CE560" s="72"/>
      <c r="CF560" s="72"/>
      <c r="CG560" s="72"/>
      <c r="CH560" s="72"/>
      <c r="CI560" s="72"/>
      <c r="CJ560" s="72"/>
      <c r="CK560" s="72"/>
      <c r="CL560" s="72"/>
      <c r="CM560" s="72"/>
      <c r="CN560" s="72"/>
      <c r="CO560" s="72"/>
      <c r="CP560" s="72"/>
      <c r="CQ560" s="72"/>
      <c r="CR560" s="72"/>
      <c r="CS560" s="72"/>
    </row>
    <row r="561" spans="1:97" ht="13.2">
      <c r="B561" s="98" t="s">
        <v>480</v>
      </c>
      <c r="C561" s="1797" t="s">
        <v>2418</v>
      </c>
      <c r="D561" s="1797"/>
      <c r="E561" s="1797"/>
      <c r="F561" s="1797"/>
      <c r="G561" s="1797"/>
      <c r="H561" s="1797"/>
      <c r="I561" s="1797"/>
      <c r="J561" s="1797"/>
      <c r="K561" s="1797"/>
      <c r="L561" s="1797"/>
      <c r="M561" s="1797"/>
      <c r="N561" s="1797"/>
      <c r="O561" s="1797"/>
      <c r="P561" s="1798"/>
      <c r="Q561" s="1802">
        <v>660</v>
      </c>
      <c r="R561" s="1803"/>
      <c r="S561" s="1804"/>
      <c r="T561" s="1802"/>
      <c r="U561" s="1803"/>
      <c r="V561" s="1804"/>
      <c r="W561" s="1852">
        <v>0.04</v>
      </c>
      <c r="X561" s="1853"/>
      <c r="Y561" s="1854"/>
      <c r="Z561" s="1855" t="s">
        <v>2488</v>
      </c>
      <c r="AA561" s="1856"/>
      <c r="AB561" s="1856"/>
      <c r="AC561" s="1856"/>
      <c r="AD561" s="1857"/>
      <c r="AE561" s="1858">
        <v>2</v>
      </c>
      <c r="AF561" s="1859"/>
      <c r="AG561" s="1859"/>
      <c r="AH561" s="1860"/>
      <c r="AI561" s="1861"/>
      <c r="AJ561" s="1862"/>
      <c r="AK561" s="1862"/>
      <c r="AL561" s="1863"/>
      <c r="AM561" s="1743">
        <v>1000000</v>
      </c>
      <c r="AN561" s="1744"/>
      <c r="AO561" s="1744"/>
      <c r="AP561" s="1744"/>
      <c r="AQ561" s="1744"/>
      <c r="AR561" s="1744"/>
      <c r="AS561" s="1745"/>
      <c r="AT561" s="72"/>
      <c r="AU561" s="72"/>
      <c r="AV561" s="72"/>
      <c r="AW561" s="72"/>
      <c r="AX561" s="72"/>
      <c r="AY561" s="72"/>
      <c r="AZ561" s="72"/>
      <c r="BA561" s="72"/>
      <c r="BB561" s="72"/>
      <c r="BC561" s="72"/>
      <c r="BD561" s="72"/>
      <c r="BE561" s="72"/>
      <c r="BF561" s="72"/>
      <c r="BG561" s="72"/>
      <c r="BH561" s="72"/>
      <c r="BI561" s="72"/>
      <c r="BJ561" s="72"/>
      <c r="BK561" s="72"/>
      <c r="BL561" s="72"/>
      <c r="BM561" s="72"/>
      <c r="BN561" s="72"/>
      <c r="BO561" s="72"/>
      <c r="BP561" s="72"/>
      <c r="BQ561" s="72"/>
      <c r="BR561" s="72"/>
      <c r="BS561" s="72"/>
      <c r="BT561" s="72"/>
      <c r="BU561" s="72"/>
      <c r="BV561" s="72"/>
      <c r="BW561" s="72"/>
      <c r="BX561" s="72"/>
      <c r="BY561" s="72"/>
      <c r="BZ561" s="72"/>
      <c r="CA561" s="72"/>
      <c r="CB561" s="72"/>
      <c r="CC561" s="72"/>
      <c r="CD561" s="72"/>
      <c r="CE561" s="72"/>
      <c r="CF561" s="72"/>
      <c r="CG561" s="72"/>
      <c r="CH561" s="72"/>
      <c r="CI561" s="72"/>
      <c r="CJ561" s="72"/>
      <c r="CK561" s="72"/>
      <c r="CL561" s="72"/>
      <c r="CM561" s="72"/>
      <c r="CN561" s="72"/>
      <c r="CO561" s="72"/>
      <c r="CP561" s="72"/>
      <c r="CQ561" s="72"/>
      <c r="CR561" s="72"/>
      <c r="CS561" s="72"/>
    </row>
    <row r="562" spans="1:97" ht="13.2">
      <c r="B562" s="98" t="s">
        <v>188</v>
      </c>
      <c r="C562" s="1797" t="s">
        <v>2419</v>
      </c>
      <c r="D562" s="1797"/>
      <c r="E562" s="1797"/>
      <c r="F562" s="1797"/>
      <c r="G562" s="1797"/>
      <c r="H562" s="1797"/>
      <c r="I562" s="1797"/>
      <c r="J562" s="1797"/>
      <c r="K562" s="1797"/>
      <c r="L562" s="1797"/>
      <c r="M562" s="1797"/>
      <c r="N562" s="1797"/>
      <c r="O562" s="1797"/>
      <c r="P562" s="1798"/>
      <c r="Q562" s="1802">
        <v>660</v>
      </c>
      <c r="R562" s="1803"/>
      <c r="S562" s="1804"/>
      <c r="T562" s="1802"/>
      <c r="U562" s="1803"/>
      <c r="V562" s="1804"/>
      <c r="W562" s="1852">
        <v>0.04</v>
      </c>
      <c r="X562" s="1853"/>
      <c r="Y562" s="1854"/>
      <c r="Z562" s="1855" t="s">
        <v>2488</v>
      </c>
      <c r="AA562" s="1856"/>
      <c r="AB562" s="1856"/>
      <c r="AC562" s="1856"/>
      <c r="AD562" s="1857"/>
      <c r="AE562" s="1858">
        <v>4</v>
      </c>
      <c r="AF562" s="1859"/>
      <c r="AG562" s="1859"/>
      <c r="AH562" s="1860"/>
      <c r="AI562" s="1861"/>
      <c r="AJ562" s="1862"/>
      <c r="AK562" s="1862"/>
      <c r="AL562" s="1863"/>
      <c r="AM562" s="1743">
        <v>1833700</v>
      </c>
      <c r="AN562" s="1744"/>
      <c r="AO562" s="1744"/>
      <c r="AP562" s="1744"/>
      <c r="AQ562" s="1744"/>
      <c r="AR562" s="1744"/>
      <c r="AS562" s="1745"/>
      <c r="AT562" s="72"/>
      <c r="AU562" s="72"/>
      <c r="AV562" s="72"/>
      <c r="AW562" s="72"/>
      <c r="AX562" s="72"/>
      <c r="AY562" s="72"/>
      <c r="AZ562" s="72"/>
      <c r="BA562" s="72"/>
      <c r="BB562" s="72"/>
      <c r="BC562" s="72"/>
      <c r="BD562" s="72"/>
      <c r="BE562" s="72"/>
      <c r="BF562" s="72"/>
      <c r="BG562" s="72"/>
      <c r="BH562" s="72"/>
      <c r="BI562" s="72"/>
      <c r="BJ562" s="72"/>
      <c r="BK562" s="72"/>
      <c r="BL562" s="72"/>
      <c r="BM562" s="72"/>
      <c r="BN562" s="72"/>
      <c r="BO562" s="72"/>
      <c r="BP562" s="72"/>
      <c r="BQ562" s="72"/>
      <c r="BR562" s="72"/>
      <c r="BS562" s="72"/>
      <c r="BT562" s="72"/>
      <c r="BU562" s="72"/>
      <c r="BV562" s="72"/>
      <c r="BW562" s="72"/>
      <c r="BX562" s="72"/>
      <c r="BY562" s="72"/>
      <c r="BZ562" s="72"/>
      <c r="CA562" s="72"/>
      <c r="CB562" s="72"/>
      <c r="CC562" s="72"/>
      <c r="CD562" s="72"/>
      <c r="CE562" s="72"/>
      <c r="CF562" s="72"/>
      <c r="CG562" s="72"/>
      <c r="CH562" s="72"/>
      <c r="CI562" s="72"/>
      <c r="CJ562" s="72"/>
      <c r="CK562" s="72"/>
      <c r="CL562" s="72"/>
      <c r="CM562" s="72"/>
      <c r="CN562" s="72"/>
      <c r="CO562" s="72"/>
      <c r="CP562" s="72"/>
      <c r="CQ562" s="72"/>
      <c r="CR562" s="72"/>
      <c r="CS562" s="72"/>
    </row>
    <row r="563" spans="1:97" ht="13.2">
      <c r="B563" s="98" t="s">
        <v>483</v>
      </c>
      <c r="C563" s="1797" t="s">
        <v>2420</v>
      </c>
      <c r="D563" s="1797"/>
      <c r="E563" s="1797"/>
      <c r="F563" s="1797"/>
      <c r="G563" s="1797"/>
      <c r="H563" s="1797"/>
      <c r="I563" s="1797"/>
      <c r="J563" s="1797"/>
      <c r="K563" s="1797"/>
      <c r="L563" s="1797"/>
      <c r="M563" s="1797"/>
      <c r="N563" s="1797"/>
      <c r="O563" s="1797"/>
      <c r="P563" s="1798"/>
      <c r="Q563" s="1802"/>
      <c r="R563" s="1803"/>
      <c r="S563" s="1804"/>
      <c r="T563" s="1802"/>
      <c r="U563" s="1803"/>
      <c r="V563" s="1804"/>
      <c r="W563" s="1852"/>
      <c r="X563" s="1853"/>
      <c r="Y563" s="1854"/>
      <c r="Z563" s="1855" t="s">
        <v>2275</v>
      </c>
      <c r="AA563" s="1856"/>
      <c r="AB563" s="1856"/>
      <c r="AC563" s="1856"/>
      <c r="AD563" s="1857"/>
      <c r="AE563" s="1858"/>
      <c r="AF563" s="1859"/>
      <c r="AG563" s="1859"/>
      <c r="AH563" s="1860"/>
      <c r="AI563" s="1861"/>
      <c r="AJ563" s="1862"/>
      <c r="AK563" s="1862"/>
      <c r="AL563" s="1863"/>
      <c r="AM563" s="1743">
        <v>2033629</v>
      </c>
      <c r="AN563" s="1744"/>
      <c r="AO563" s="1744"/>
      <c r="AP563" s="1744"/>
      <c r="AQ563" s="1744"/>
      <c r="AR563" s="1744"/>
      <c r="AS563" s="1745"/>
      <c r="AT563" s="72"/>
      <c r="AU563" s="72"/>
      <c r="AV563" s="72"/>
      <c r="AW563" s="72"/>
      <c r="AX563" s="72"/>
      <c r="AY563" s="72"/>
      <c r="AZ563" s="72"/>
      <c r="BA563" s="72"/>
      <c r="BB563" s="72"/>
      <c r="BC563" s="72"/>
      <c r="BD563" s="72"/>
      <c r="BE563" s="72"/>
      <c r="BF563" s="72"/>
      <c r="BG563" s="72"/>
      <c r="BH563" s="72"/>
      <c r="BI563" s="72"/>
      <c r="BJ563" s="72"/>
      <c r="BK563" s="72"/>
      <c r="BL563" s="72"/>
      <c r="BM563" s="72"/>
      <c r="BN563" s="72"/>
      <c r="BO563" s="72"/>
      <c r="BP563" s="72"/>
      <c r="BQ563" s="72"/>
      <c r="BR563" s="72"/>
      <c r="BS563" s="72"/>
      <c r="BT563" s="72"/>
      <c r="BU563" s="72"/>
      <c r="BV563" s="72"/>
      <c r="BW563" s="72"/>
      <c r="BX563" s="72"/>
      <c r="BY563" s="72"/>
      <c r="BZ563" s="72"/>
      <c r="CA563" s="72"/>
      <c r="CB563" s="72"/>
      <c r="CC563" s="72"/>
      <c r="CD563" s="72"/>
      <c r="CE563" s="72"/>
      <c r="CF563" s="72"/>
      <c r="CG563" s="72"/>
      <c r="CH563" s="72"/>
      <c r="CI563" s="72"/>
      <c r="CJ563" s="72"/>
      <c r="CK563" s="72"/>
      <c r="CL563" s="72"/>
      <c r="CM563" s="72"/>
      <c r="CN563" s="72"/>
      <c r="CO563" s="72"/>
      <c r="CP563" s="72"/>
      <c r="CQ563" s="72"/>
      <c r="CR563" s="72"/>
      <c r="CS563" s="72"/>
    </row>
    <row r="564" spans="1:97" ht="13.2">
      <c r="B564" s="98" t="s">
        <v>810</v>
      </c>
      <c r="C564" s="1797" t="s">
        <v>2430</v>
      </c>
      <c r="D564" s="1797"/>
      <c r="E564" s="1797"/>
      <c r="F564" s="1797"/>
      <c r="G564" s="1797"/>
      <c r="H564" s="1797"/>
      <c r="I564" s="1797"/>
      <c r="J564" s="1797"/>
      <c r="K564" s="1797"/>
      <c r="L564" s="1797"/>
      <c r="M564" s="1797"/>
      <c r="N564" s="1797"/>
      <c r="O564" s="1797"/>
      <c r="P564" s="1798"/>
      <c r="Q564" s="1802"/>
      <c r="R564" s="1803"/>
      <c r="S564" s="1804"/>
      <c r="T564" s="1802"/>
      <c r="U564" s="1803"/>
      <c r="V564" s="1804"/>
      <c r="W564" s="1852"/>
      <c r="X564" s="1853"/>
      <c r="Y564" s="1854"/>
      <c r="Z564" s="1855" t="s">
        <v>2275</v>
      </c>
      <c r="AA564" s="1856"/>
      <c r="AB564" s="1856"/>
      <c r="AC564" s="1856"/>
      <c r="AD564" s="1857"/>
      <c r="AE564" s="1858"/>
      <c r="AF564" s="1859"/>
      <c r="AG564" s="1859"/>
      <c r="AH564" s="1860"/>
      <c r="AI564" s="1861"/>
      <c r="AJ564" s="1862"/>
      <c r="AK564" s="1862"/>
      <c r="AL564" s="1863"/>
      <c r="AM564" s="1743">
        <v>1614107</v>
      </c>
      <c r="AN564" s="1744"/>
      <c r="AO564" s="1744"/>
      <c r="AP564" s="1744"/>
      <c r="AQ564" s="1744"/>
      <c r="AR564" s="1744"/>
      <c r="AS564" s="1745"/>
      <c r="AT564" s="72"/>
      <c r="AU564" s="72"/>
      <c r="AV564" s="72"/>
      <c r="AW564" s="72"/>
      <c r="AX564" s="72"/>
      <c r="AY564" s="72"/>
      <c r="AZ564" s="72"/>
      <c r="BA564" s="72"/>
      <c r="BB564" s="72"/>
      <c r="BC564" s="72"/>
      <c r="BD564" s="72"/>
      <c r="BE564" s="72"/>
      <c r="BF564" s="72"/>
      <c r="BG564" s="72"/>
      <c r="BH564" s="72"/>
      <c r="BI564" s="72"/>
      <c r="BJ564" s="72"/>
      <c r="BK564" s="72"/>
      <c r="BL564" s="72"/>
      <c r="BM564" s="72"/>
      <c r="BN564" s="72"/>
      <c r="BO564" s="72"/>
      <c r="BP564" s="72"/>
      <c r="BQ564" s="72"/>
      <c r="BR564" s="72"/>
      <c r="BS564" s="72"/>
      <c r="BT564" s="72"/>
      <c r="BU564" s="72"/>
      <c r="BV564" s="72"/>
      <c r="BW564" s="72"/>
      <c r="BX564" s="72"/>
      <c r="BY564" s="72"/>
      <c r="BZ564" s="72"/>
      <c r="CA564" s="72"/>
      <c r="CB564" s="72"/>
      <c r="CC564" s="72"/>
      <c r="CD564" s="72"/>
      <c r="CE564" s="72"/>
      <c r="CF564" s="72"/>
      <c r="CG564" s="72"/>
      <c r="CH564" s="72"/>
      <c r="CI564" s="72"/>
      <c r="CJ564" s="72"/>
      <c r="CK564" s="72"/>
      <c r="CL564" s="72"/>
      <c r="CM564" s="72"/>
      <c r="CN564" s="72"/>
      <c r="CO564" s="72"/>
      <c r="CP564" s="72"/>
      <c r="CQ564" s="72"/>
      <c r="CR564" s="72"/>
      <c r="CS564" s="72"/>
    </row>
    <row r="565" spans="1:97" ht="13.2">
      <c r="B565" s="98" t="s">
        <v>811</v>
      </c>
      <c r="C565" s="1797"/>
      <c r="D565" s="1797"/>
      <c r="E565" s="1797"/>
      <c r="F565" s="1797"/>
      <c r="G565" s="1797"/>
      <c r="H565" s="1797"/>
      <c r="I565" s="1797"/>
      <c r="J565" s="1797"/>
      <c r="K565" s="1797"/>
      <c r="L565" s="1797"/>
      <c r="M565" s="1797"/>
      <c r="N565" s="1797"/>
      <c r="O565" s="1797"/>
      <c r="P565" s="1798"/>
      <c r="Q565" s="1802"/>
      <c r="R565" s="1803"/>
      <c r="S565" s="1804"/>
      <c r="T565" s="1802"/>
      <c r="U565" s="1803"/>
      <c r="V565" s="1804"/>
      <c r="W565" s="1852"/>
      <c r="X565" s="1853"/>
      <c r="Y565" s="1854"/>
      <c r="Z565" s="1856" t="s">
        <v>2275</v>
      </c>
      <c r="AA565" s="1856"/>
      <c r="AB565" s="1856"/>
      <c r="AC565" s="1856"/>
      <c r="AD565" s="1856"/>
      <c r="AE565" s="1858"/>
      <c r="AF565" s="1859"/>
      <c r="AG565" s="1859"/>
      <c r="AH565" s="1860"/>
      <c r="AI565" s="1861"/>
      <c r="AJ565" s="1862"/>
      <c r="AK565" s="1862"/>
      <c r="AL565" s="1863"/>
      <c r="AM565" s="1743"/>
      <c r="AN565" s="1744"/>
      <c r="AO565" s="1744"/>
      <c r="AP565" s="1744"/>
      <c r="AQ565" s="1744"/>
      <c r="AR565" s="1744"/>
      <c r="AS565" s="1745"/>
      <c r="AT565" s="72"/>
      <c r="AU565" s="72"/>
      <c r="AV565" s="72"/>
      <c r="AW565" s="72"/>
      <c r="AX565" s="72"/>
      <c r="AY565" s="72"/>
      <c r="AZ565" s="72"/>
      <c r="BA565" s="72"/>
      <c r="BB565" s="72"/>
      <c r="BC565" s="72"/>
      <c r="BD565" s="72"/>
      <c r="BE565" s="72"/>
      <c r="BF565" s="72"/>
      <c r="BG565" s="72"/>
      <c r="BH565" s="72"/>
      <c r="BI565" s="72"/>
      <c r="BJ565" s="72"/>
      <c r="BK565" s="72"/>
      <c r="BL565" s="72"/>
      <c r="BM565" s="72"/>
      <c r="BN565" s="72"/>
      <c r="BO565" s="72"/>
      <c r="BP565" s="72"/>
      <c r="BQ565" s="72"/>
      <c r="BR565" s="72"/>
      <c r="BS565" s="72"/>
      <c r="BT565" s="72"/>
      <c r="BU565" s="72"/>
      <c r="BV565" s="72"/>
      <c r="BW565" s="72"/>
      <c r="BX565" s="72"/>
      <c r="BY565" s="72"/>
      <c r="BZ565" s="72"/>
      <c r="CA565" s="72"/>
      <c r="CB565" s="72"/>
      <c r="CC565" s="72"/>
      <c r="CD565" s="72"/>
      <c r="CE565" s="72"/>
      <c r="CF565" s="72"/>
      <c r="CG565" s="72"/>
      <c r="CH565" s="72"/>
      <c r="CI565" s="72"/>
      <c r="CJ565" s="72"/>
      <c r="CK565" s="72"/>
      <c r="CL565" s="72"/>
      <c r="CM565" s="72"/>
      <c r="CN565" s="72"/>
      <c r="CO565" s="72"/>
      <c r="CP565" s="72"/>
      <c r="CQ565" s="72"/>
      <c r="CR565" s="72"/>
      <c r="CS565" s="72"/>
    </row>
    <row r="566" spans="1:97" ht="13.2">
      <c r="B566" s="98" t="s">
        <v>606</v>
      </c>
      <c r="C566" s="1797"/>
      <c r="D566" s="1797"/>
      <c r="E566" s="1797"/>
      <c r="F566" s="1797"/>
      <c r="G566" s="1797"/>
      <c r="H566" s="1797"/>
      <c r="I566" s="1797"/>
      <c r="J566" s="1797"/>
      <c r="K566" s="1797"/>
      <c r="L566" s="1797"/>
      <c r="M566" s="1797"/>
      <c r="N566" s="1797"/>
      <c r="O566" s="1797"/>
      <c r="P566" s="1798"/>
      <c r="Q566" s="1802"/>
      <c r="R566" s="1803"/>
      <c r="S566" s="1804"/>
      <c r="T566" s="1802"/>
      <c r="U566" s="1803"/>
      <c r="V566" s="1804"/>
      <c r="W566" s="1852"/>
      <c r="X566" s="1853"/>
      <c r="Y566" s="1854"/>
      <c r="Z566" s="1856" t="s">
        <v>2275</v>
      </c>
      <c r="AA566" s="1856"/>
      <c r="AB566" s="1856"/>
      <c r="AC566" s="1856"/>
      <c r="AD566" s="1856"/>
      <c r="AE566" s="1858"/>
      <c r="AF566" s="1859"/>
      <c r="AG566" s="1859"/>
      <c r="AH566" s="1860"/>
      <c r="AI566" s="1861"/>
      <c r="AJ566" s="1862"/>
      <c r="AK566" s="1862"/>
      <c r="AL566" s="1863"/>
      <c r="AM566" s="1743"/>
      <c r="AN566" s="1744"/>
      <c r="AO566" s="1744"/>
      <c r="AP566" s="1744"/>
      <c r="AQ566" s="1744"/>
      <c r="AR566" s="1744"/>
      <c r="AS566" s="1745"/>
      <c r="AT566" s="72"/>
      <c r="AU566" s="72"/>
      <c r="AV566" s="72"/>
      <c r="AW566" s="72"/>
      <c r="AX566" s="72"/>
      <c r="AY566" s="72"/>
      <c r="AZ566" s="72"/>
      <c r="BA566" s="72"/>
      <c r="BB566" s="72"/>
      <c r="BC566" s="72"/>
      <c r="BD566" s="72"/>
      <c r="BE566" s="72"/>
      <c r="BF566" s="72"/>
      <c r="BG566" s="72"/>
      <c r="BH566" s="72"/>
      <c r="BI566" s="72"/>
      <c r="BJ566" s="72"/>
      <c r="BK566" s="72"/>
      <c r="BL566" s="72"/>
      <c r="BM566" s="72"/>
      <c r="BN566" s="72"/>
      <c r="BO566" s="72"/>
      <c r="BP566" s="72"/>
      <c r="BQ566" s="72"/>
      <c r="BR566" s="72"/>
      <c r="BS566" s="72"/>
      <c r="BT566" s="72"/>
      <c r="BU566" s="72"/>
      <c r="BV566" s="72"/>
      <c r="BW566" s="72"/>
      <c r="BX566" s="72"/>
      <c r="BY566" s="72"/>
      <c r="BZ566" s="72"/>
      <c r="CA566" s="72"/>
      <c r="CB566" s="72"/>
      <c r="CC566" s="72"/>
      <c r="CD566" s="72"/>
      <c r="CE566" s="72"/>
      <c r="CF566" s="72"/>
      <c r="CG566" s="72"/>
      <c r="CH566" s="72"/>
      <c r="CI566" s="72"/>
      <c r="CJ566" s="72"/>
      <c r="CK566" s="72"/>
      <c r="CL566" s="72"/>
      <c r="CM566" s="72"/>
      <c r="CN566" s="72"/>
      <c r="CO566" s="72"/>
      <c r="CP566" s="72"/>
      <c r="CQ566" s="72"/>
      <c r="CR566" s="72"/>
      <c r="CS566" s="72"/>
    </row>
    <row r="567" spans="1:97" ht="13.2">
      <c r="B567" s="98" t="s">
        <v>191</v>
      </c>
      <c r="C567" s="1797"/>
      <c r="D567" s="1797"/>
      <c r="E567" s="1797"/>
      <c r="F567" s="1797"/>
      <c r="G567" s="1797"/>
      <c r="H567" s="1797"/>
      <c r="I567" s="1797"/>
      <c r="J567" s="1797"/>
      <c r="K567" s="1797"/>
      <c r="L567" s="1797"/>
      <c r="M567" s="1797"/>
      <c r="N567" s="1797"/>
      <c r="O567" s="1797"/>
      <c r="P567" s="1798"/>
      <c r="Q567" s="1802"/>
      <c r="R567" s="1803"/>
      <c r="S567" s="1804"/>
      <c r="T567" s="1802"/>
      <c r="U567" s="1803"/>
      <c r="V567" s="1804"/>
      <c r="W567" s="1852"/>
      <c r="X567" s="1853"/>
      <c r="Y567" s="1854"/>
      <c r="Z567" s="1856" t="s">
        <v>2275</v>
      </c>
      <c r="AA567" s="1856"/>
      <c r="AB567" s="1856"/>
      <c r="AC567" s="1856"/>
      <c r="AD567" s="1856"/>
      <c r="AE567" s="1858"/>
      <c r="AF567" s="1859"/>
      <c r="AG567" s="1859"/>
      <c r="AH567" s="1860"/>
      <c r="AI567" s="1861"/>
      <c r="AJ567" s="1862"/>
      <c r="AK567" s="1862"/>
      <c r="AL567" s="1863"/>
      <c r="AM567" s="1743"/>
      <c r="AN567" s="1744"/>
      <c r="AO567" s="1744"/>
      <c r="AP567" s="1744"/>
      <c r="AQ567" s="1744"/>
      <c r="AR567" s="1744"/>
      <c r="AS567" s="1745"/>
      <c r="AT567" s="72"/>
      <c r="AU567" s="72"/>
      <c r="AV567" s="72"/>
      <c r="AW567" s="72"/>
      <c r="AX567" s="72"/>
      <c r="AY567" s="72"/>
      <c r="AZ567" s="72"/>
      <c r="BA567" s="72"/>
      <c r="BB567" s="72"/>
      <c r="BC567" s="72"/>
      <c r="BD567" s="72"/>
      <c r="BE567" s="72"/>
      <c r="BF567" s="72"/>
      <c r="BG567" s="72"/>
      <c r="BH567" s="72"/>
      <c r="BI567" s="72"/>
      <c r="BJ567" s="72"/>
      <c r="BK567" s="72"/>
      <c r="BL567" s="72"/>
      <c r="BM567" s="72"/>
      <c r="BN567" s="72"/>
      <c r="BO567" s="72"/>
      <c r="BP567" s="72"/>
      <c r="BQ567" s="72"/>
      <c r="BR567" s="72"/>
      <c r="BS567" s="72"/>
      <c r="BT567" s="72"/>
      <c r="BU567" s="72"/>
      <c r="BV567" s="72"/>
      <c r="BW567" s="72"/>
      <c r="BX567" s="72"/>
      <c r="BY567" s="72"/>
      <c r="BZ567" s="72"/>
      <c r="CA567" s="72"/>
      <c r="CB567" s="72"/>
      <c r="CC567" s="72"/>
      <c r="CD567" s="72"/>
      <c r="CE567" s="72"/>
      <c r="CF567" s="72"/>
      <c r="CG567" s="72"/>
      <c r="CH567" s="72"/>
      <c r="CI567" s="72"/>
      <c r="CJ567" s="72"/>
      <c r="CK567" s="72"/>
      <c r="CL567" s="72"/>
      <c r="CM567" s="72"/>
      <c r="CN567" s="72"/>
      <c r="CO567" s="72"/>
      <c r="CP567" s="72"/>
      <c r="CQ567" s="72"/>
      <c r="CR567" s="72"/>
      <c r="CS567" s="72"/>
    </row>
    <row r="568" spans="1:97" ht="13.2">
      <c r="B568" s="98" t="s">
        <v>37</v>
      </c>
      <c r="C568" s="1797"/>
      <c r="D568" s="1797"/>
      <c r="E568" s="1797"/>
      <c r="F568" s="1797"/>
      <c r="G568" s="1797"/>
      <c r="H568" s="1797"/>
      <c r="I568" s="1797"/>
      <c r="J568" s="1797"/>
      <c r="K568" s="1797"/>
      <c r="L568" s="1797"/>
      <c r="M568" s="1797"/>
      <c r="N568" s="1797"/>
      <c r="O568" s="1797"/>
      <c r="P568" s="1798"/>
      <c r="Q568" s="1802"/>
      <c r="R568" s="1803"/>
      <c r="S568" s="1804"/>
      <c r="T568" s="1802"/>
      <c r="U568" s="1803"/>
      <c r="V568" s="1804"/>
      <c r="W568" s="1852"/>
      <c r="X568" s="1853"/>
      <c r="Y568" s="1854"/>
      <c r="Z568" s="1856" t="s">
        <v>2275</v>
      </c>
      <c r="AA568" s="1856"/>
      <c r="AB568" s="1856"/>
      <c r="AC568" s="1856"/>
      <c r="AD568" s="1856"/>
      <c r="AE568" s="1858"/>
      <c r="AF568" s="1859"/>
      <c r="AG568" s="1859"/>
      <c r="AH568" s="1860"/>
      <c r="AI568" s="1861"/>
      <c r="AJ568" s="1862"/>
      <c r="AK568" s="1862"/>
      <c r="AL568" s="1863"/>
      <c r="AM568" s="1743"/>
      <c r="AN568" s="1744"/>
      <c r="AO568" s="1744"/>
      <c r="AP568" s="1744"/>
      <c r="AQ568" s="1744"/>
      <c r="AR568" s="1744"/>
      <c r="AS568" s="1745"/>
      <c r="AT568" s="72"/>
      <c r="AU568" s="72"/>
      <c r="AV568" s="72"/>
      <c r="AW568" s="72"/>
      <c r="AX568" s="72"/>
      <c r="AY568" s="72"/>
      <c r="AZ568" s="72"/>
      <c r="BA568" s="72"/>
      <c r="BB568" s="72"/>
      <c r="BC568" s="72"/>
      <c r="BD568" s="72"/>
      <c r="BE568" s="72"/>
      <c r="BF568" s="72"/>
      <c r="BG568" s="72"/>
      <c r="BH568" s="72"/>
      <c r="BI568" s="72"/>
      <c r="BJ568" s="72"/>
      <c r="BK568" s="72"/>
      <c r="BL568" s="72"/>
      <c r="BM568" s="72"/>
      <c r="BN568" s="72"/>
      <c r="BO568" s="72"/>
      <c r="BP568" s="72"/>
      <c r="BQ568" s="72"/>
      <c r="BR568" s="72"/>
      <c r="BS568" s="72"/>
      <c r="BT568" s="72"/>
      <c r="BU568" s="72"/>
      <c r="BV568" s="72"/>
      <c r="BW568" s="72"/>
      <c r="BX568" s="72"/>
      <c r="BY568" s="72"/>
      <c r="BZ568" s="72"/>
      <c r="CA568" s="72"/>
      <c r="CB568" s="72"/>
      <c r="CC568" s="72"/>
      <c r="CD568" s="72"/>
      <c r="CE568" s="72"/>
      <c r="CF568" s="72"/>
      <c r="CG568" s="72"/>
      <c r="CH568" s="72"/>
      <c r="CI568" s="72"/>
      <c r="CJ568" s="72"/>
      <c r="CK568" s="72"/>
      <c r="CL568" s="72"/>
      <c r="CM568" s="72"/>
      <c r="CN568" s="72"/>
      <c r="CO568" s="72"/>
      <c r="CP568" s="72"/>
      <c r="CQ568" s="72"/>
      <c r="CR568" s="72"/>
      <c r="CS568" s="72"/>
    </row>
    <row r="569" spans="1:97" ht="13.2">
      <c r="B569" s="98" t="s">
        <v>38</v>
      </c>
      <c r="C569" s="1797"/>
      <c r="D569" s="1797"/>
      <c r="E569" s="1797"/>
      <c r="F569" s="1797"/>
      <c r="G569" s="1797"/>
      <c r="H569" s="1797"/>
      <c r="I569" s="1797"/>
      <c r="J569" s="1797"/>
      <c r="K569" s="1797"/>
      <c r="L569" s="1797"/>
      <c r="M569" s="1797"/>
      <c r="N569" s="1797"/>
      <c r="O569" s="1797"/>
      <c r="P569" s="1798"/>
      <c r="Q569" s="1802"/>
      <c r="R569" s="1803"/>
      <c r="S569" s="1804"/>
      <c r="T569" s="1802"/>
      <c r="U569" s="1803"/>
      <c r="V569" s="1804"/>
      <c r="W569" s="1852"/>
      <c r="X569" s="1853"/>
      <c r="Y569" s="1854"/>
      <c r="Z569" s="1856" t="s">
        <v>2275</v>
      </c>
      <c r="AA569" s="1856"/>
      <c r="AB569" s="1856"/>
      <c r="AC569" s="1856"/>
      <c r="AD569" s="1856"/>
      <c r="AE569" s="1858"/>
      <c r="AF569" s="1859"/>
      <c r="AG569" s="1859"/>
      <c r="AH569" s="1860"/>
      <c r="AI569" s="1861"/>
      <c r="AJ569" s="1862"/>
      <c r="AK569" s="1862"/>
      <c r="AL569" s="1863"/>
      <c r="AM569" s="1743"/>
      <c r="AN569" s="1744"/>
      <c r="AO569" s="1744"/>
      <c r="AP569" s="1744"/>
      <c r="AQ569" s="1744"/>
      <c r="AR569" s="1744"/>
      <c r="AS569" s="1745"/>
      <c r="AT569" s="72"/>
      <c r="AU569" s="72"/>
      <c r="AV569" s="72"/>
      <c r="AW569" s="72"/>
      <c r="AX569" s="72"/>
      <c r="AY569" s="72"/>
      <c r="AZ569" s="72"/>
      <c r="BA569" s="72"/>
      <c r="BB569" s="72"/>
      <c r="BC569" s="72"/>
      <c r="BD569" s="72"/>
      <c r="BE569" s="72"/>
      <c r="BF569" s="72"/>
      <c r="BG569" s="72"/>
      <c r="BH569" s="72"/>
      <c r="BI569" s="72"/>
      <c r="BJ569" s="72"/>
      <c r="BK569" s="72"/>
      <c r="BL569" s="72"/>
      <c r="BM569" s="72"/>
      <c r="BN569" s="72"/>
      <c r="BO569" s="72"/>
      <c r="BP569" s="72"/>
      <c r="BQ569" s="72"/>
      <c r="BR569" s="72"/>
      <c r="BS569" s="72"/>
      <c r="BT569" s="72"/>
      <c r="BU569" s="72"/>
      <c r="BV569" s="72"/>
      <c r="BW569" s="72"/>
      <c r="BX569" s="72"/>
      <c r="BY569" s="72"/>
      <c r="BZ569" s="72"/>
      <c r="CA569" s="72"/>
      <c r="CB569" s="72"/>
      <c r="CC569" s="72"/>
      <c r="CD569" s="72"/>
      <c r="CE569" s="72"/>
      <c r="CF569" s="72"/>
      <c r="CG569" s="72"/>
      <c r="CH569" s="72"/>
      <c r="CI569" s="72"/>
      <c r="CJ569" s="72"/>
      <c r="CK569" s="72"/>
      <c r="CL569" s="72"/>
      <c r="CM569" s="72"/>
      <c r="CN569" s="72"/>
      <c r="CO569" s="72"/>
      <c r="CP569" s="72"/>
      <c r="CQ569" s="72"/>
      <c r="CR569" s="72"/>
      <c r="CS569" s="72"/>
    </row>
    <row r="570" spans="1:97" ht="13.2">
      <c r="B570" s="1848" t="s">
        <v>401</v>
      </c>
      <c r="C570" s="1849"/>
      <c r="D570" s="1849"/>
      <c r="E570" s="1849"/>
      <c r="F570" s="1849"/>
      <c r="G570" s="1849"/>
      <c r="H570" s="1849"/>
      <c r="I570" s="1849"/>
      <c r="J570" s="1849"/>
      <c r="K570" s="1849"/>
      <c r="L570" s="1849"/>
      <c r="M570" s="1849"/>
      <c r="N570" s="1849"/>
      <c r="O570" s="1849"/>
      <c r="P570" s="1849"/>
      <c r="Q570" s="1849"/>
      <c r="R570" s="1849"/>
      <c r="S570" s="1849"/>
      <c r="T570" s="1849"/>
      <c r="U570" s="1850"/>
      <c r="V570" s="1849"/>
      <c r="W570" s="1849"/>
      <c r="X570" s="1849"/>
      <c r="Y570" s="1849"/>
      <c r="Z570" s="1849"/>
      <c r="AA570" s="1849"/>
      <c r="AB570" s="1849"/>
      <c r="AC570" s="1849"/>
      <c r="AD570" s="1849"/>
      <c r="AE570" s="1849"/>
      <c r="AF570" s="1849"/>
      <c r="AG570" s="1849"/>
      <c r="AH570" s="1849"/>
      <c r="AI570" s="1849"/>
      <c r="AJ570" s="1849"/>
      <c r="AK570" s="1849"/>
      <c r="AL570" s="1851"/>
      <c r="AM570" s="1749">
        <f>SUM(AM558:AS569)</f>
        <v>24107565</v>
      </c>
      <c r="AN570" s="1750"/>
      <c r="AO570" s="1750"/>
      <c r="AP570" s="1750"/>
      <c r="AQ570" s="1750"/>
      <c r="AR570" s="1750"/>
      <c r="AS570" s="1751"/>
      <c r="AT570" s="72"/>
      <c r="AU570" s="72"/>
      <c r="AV570" s="72"/>
      <c r="AW570" s="72"/>
      <c r="AX570" s="72"/>
      <c r="AY570" s="72"/>
      <c r="AZ570" s="72"/>
      <c r="BB570" s="72"/>
      <c r="BC570" s="72"/>
      <c r="BD570" s="72"/>
      <c r="BE570" s="72"/>
      <c r="BF570" s="72"/>
      <c r="BG570" s="72"/>
      <c r="BH570" s="72"/>
      <c r="BI570" s="72"/>
      <c r="BJ570" s="72"/>
      <c r="BK570" s="72"/>
      <c r="BL570" s="72"/>
      <c r="BM570" s="72"/>
      <c r="BN570" s="72"/>
      <c r="BO570" s="72"/>
      <c r="BP570" s="72"/>
      <c r="BQ570" s="72"/>
      <c r="BR570" s="72"/>
      <c r="BS570" s="72"/>
      <c r="BT570" s="72"/>
      <c r="BU570" s="72"/>
      <c r="BV570" s="72"/>
      <c r="BW570" s="72"/>
      <c r="BX570" s="72"/>
      <c r="BY570" s="72"/>
      <c r="BZ570" s="72"/>
      <c r="CA570" s="72"/>
      <c r="CB570" s="72"/>
      <c r="CC570" s="72"/>
      <c r="CD570" s="72"/>
      <c r="CE570" s="72"/>
      <c r="CF570" s="72"/>
      <c r="CG570" s="72"/>
      <c r="CH570" s="72"/>
      <c r="CI570" s="72"/>
      <c r="CJ570" s="72"/>
      <c r="CK570" s="72"/>
      <c r="CL570" s="72"/>
      <c r="CM570" s="72"/>
      <c r="CN570" s="72"/>
      <c r="CO570" s="72"/>
      <c r="CP570" s="72"/>
      <c r="CQ570" s="72"/>
      <c r="CR570" s="72"/>
      <c r="CS570" s="72"/>
    </row>
    <row r="571" spans="1:97" ht="12.75" customHeight="1">
      <c r="B571" s="103"/>
      <c r="C571" s="103"/>
      <c r="D571" s="103"/>
      <c r="E571" s="103"/>
      <c r="F571" s="103"/>
      <c r="G571" s="103"/>
      <c r="H571" s="103"/>
      <c r="I571" s="103"/>
      <c r="J571" s="103"/>
      <c r="K571" s="103"/>
      <c r="L571" s="103"/>
      <c r="M571" s="103"/>
      <c r="N571" s="103"/>
      <c r="O571" s="103"/>
      <c r="P571" s="103"/>
      <c r="Q571" s="103"/>
      <c r="R571" s="103"/>
      <c r="S571" s="103"/>
      <c r="T571" s="103"/>
      <c r="U571" s="103"/>
      <c r="V571" s="103"/>
      <c r="W571" s="103"/>
      <c r="X571" s="103"/>
      <c r="Y571" s="103"/>
      <c r="Z571" s="103"/>
      <c r="AA571" s="103"/>
      <c r="AB571" s="103"/>
      <c r="AC571" s="103"/>
      <c r="AD571" s="103"/>
      <c r="AE571" s="1400"/>
      <c r="AF571" s="1400"/>
      <c r="AG571" s="1400"/>
      <c r="AH571" s="1400"/>
      <c r="AI571" s="1400"/>
      <c r="AJ571" s="1400"/>
      <c r="AK571" s="1400"/>
      <c r="AM571" s="72"/>
      <c r="AN571" s="72"/>
      <c r="AO571" s="72"/>
      <c r="AP571" s="72"/>
      <c r="AQ571" s="72"/>
      <c r="AR571" s="72"/>
      <c r="AS571" s="72"/>
      <c r="AT571" s="72"/>
      <c r="AU571" s="72"/>
      <c r="AV571" s="72"/>
      <c r="AW571" s="72"/>
      <c r="AX571" s="72"/>
      <c r="AY571" s="72"/>
      <c r="AZ571" s="72"/>
      <c r="BB571" s="72"/>
      <c r="BC571" s="72"/>
      <c r="BD571" s="72"/>
      <c r="BE571" s="72"/>
      <c r="BF571" s="72"/>
      <c r="BG571" s="72"/>
      <c r="BH571" s="72"/>
      <c r="BI571" s="72"/>
      <c r="BJ571" s="72"/>
      <c r="BK571" s="72"/>
      <c r="BL571" s="72"/>
      <c r="BM571" s="72"/>
      <c r="BN571" s="72"/>
      <c r="BO571" s="72"/>
      <c r="BP571" s="72"/>
      <c r="BQ571" s="72"/>
      <c r="BR571" s="72"/>
      <c r="BS571" s="72"/>
      <c r="BT571" s="72"/>
      <c r="BU571" s="72"/>
      <c r="BV571" s="72"/>
      <c r="BW571" s="72"/>
      <c r="BX571" s="72"/>
      <c r="BY571" s="72"/>
      <c r="BZ571" s="72"/>
      <c r="CA571" s="72"/>
      <c r="CB571" s="72"/>
      <c r="CC571" s="72"/>
      <c r="CD571" s="72"/>
      <c r="CE571" s="72"/>
      <c r="CF571" s="72"/>
      <c r="CG571" s="72"/>
      <c r="CH571" s="72"/>
      <c r="CI571" s="72"/>
      <c r="CJ571" s="72"/>
      <c r="CK571" s="72"/>
      <c r="CL571" s="72"/>
      <c r="CM571" s="72"/>
      <c r="CN571" s="72"/>
      <c r="CO571" s="72"/>
      <c r="CP571" s="72"/>
      <c r="CQ571" s="72"/>
      <c r="CR571" s="72"/>
      <c r="CS571" s="72"/>
    </row>
    <row r="572" spans="1:97" ht="13.2">
      <c r="A572" s="101" t="s">
        <v>1004</v>
      </c>
      <c r="B572" s="16" t="s">
        <v>93</v>
      </c>
      <c r="G572" s="1791" t="str">
        <f>C558</f>
        <v>Construction Loan - US Bank</v>
      </c>
      <c r="H572" s="1791"/>
      <c r="I572" s="1791"/>
      <c r="J572" s="1791"/>
      <c r="K572" s="1791"/>
      <c r="L572" s="1791"/>
      <c r="M572" s="1791"/>
      <c r="N572" s="1791"/>
      <c r="O572" s="1791"/>
      <c r="P572" s="1791"/>
      <c r="Q572" s="1791"/>
      <c r="R572" s="1791"/>
      <c r="S572" s="18"/>
      <c r="T572" s="101" t="s">
        <v>1005</v>
      </c>
      <c r="U572" s="16" t="s">
        <v>93</v>
      </c>
      <c r="Z572" s="1791" t="str">
        <f>C559</f>
        <v>City of Fresno HOME Loan</v>
      </c>
      <c r="AA572" s="1791"/>
      <c r="AB572" s="1791"/>
      <c r="AC572" s="1791"/>
      <c r="AD572" s="1791"/>
      <c r="AE572" s="1791"/>
      <c r="AF572" s="1791"/>
      <c r="AG572" s="1791"/>
      <c r="AH572" s="1791"/>
      <c r="AI572" s="1791"/>
      <c r="AJ572" s="1791"/>
      <c r="AK572" s="1791"/>
      <c r="AM572" s="72"/>
      <c r="AN572" s="72"/>
      <c r="AO572" s="72"/>
      <c r="AP572" s="72"/>
      <c r="AQ572" s="72"/>
      <c r="AR572" s="72"/>
      <c r="AS572" s="72"/>
      <c r="AT572" s="72"/>
      <c r="AU572" s="72"/>
      <c r="AV572" s="72"/>
      <c r="AW572" s="72"/>
      <c r="AX572" s="72"/>
      <c r="AY572" s="72"/>
      <c r="AZ572" s="72"/>
      <c r="BA572" s="72"/>
      <c r="BB572" s="72"/>
      <c r="BC572" s="72"/>
      <c r="BD572" s="72"/>
      <c r="BE572" s="72"/>
      <c r="BF572" s="72"/>
      <c r="BG572" s="72"/>
      <c r="BH572" s="72"/>
      <c r="BI572" s="72"/>
      <c r="BJ572" s="72"/>
      <c r="BK572" s="72"/>
      <c r="BL572" s="72"/>
      <c r="BM572" s="72"/>
      <c r="BN572" s="72"/>
      <c r="BO572" s="72"/>
      <c r="BP572" s="72"/>
      <c r="BQ572" s="72"/>
      <c r="BR572" s="72"/>
      <c r="BS572" s="72"/>
      <c r="BT572" s="72"/>
      <c r="BU572" s="72"/>
      <c r="BV572" s="72"/>
      <c r="BW572" s="72"/>
      <c r="BX572" s="72"/>
      <c r="BY572" s="72"/>
      <c r="BZ572" s="72"/>
      <c r="CA572" s="72"/>
      <c r="CB572" s="72"/>
      <c r="CC572" s="72"/>
      <c r="CD572" s="72"/>
      <c r="CE572" s="72"/>
      <c r="CF572" s="72"/>
      <c r="CG572" s="72"/>
      <c r="CH572" s="72"/>
      <c r="CI572" s="72"/>
      <c r="CJ572" s="72"/>
      <c r="CK572" s="72"/>
      <c r="CL572" s="72"/>
      <c r="CM572" s="72"/>
      <c r="CN572" s="72"/>
      <c r="CO572" s="72"/>
      <c r="CP572" s="72"/>
      <c r="CQ572" s="72"/>
      <c r="CR572" s="72"/>
      <c r="CS572" s="72"/>
    </row>
    <row r="573" spans="1:97" ht="13.2">
      <c r="A573" s="46"/>
      <c r="B573" s="16" t="s">
        <v>416</v>
      </c>
      <c r="G573" s="1787" t="s">
        <v>2422</v>
      </c>
      <c r="H573" s="1788"/>
      <c r="I573" s="1788"/>
      <c r="J573" s="1788"/>
      <c r="K573" s="1788"/>
      <c r="L573" s="1788"/>
      <c r="M573" s="1788"/>
      <c r="N573" s="1788"/>
      <c r="O573" s="1788"/>
      <c r="P573" s="1788"/>
      <c r="Q573" s="1788"/>
      <c r="R573" s="1788"/>
      <c r="S573" s="18"/>
      <c r="T573" s="46"/>
      <c r="U573" s="16" t="s">
        <v>416</v>
      </c>
      <c r="Z573" s="1787" t="s">
        <v>2336</v>
      </c>
      <c r="AA573" s="1788"/>
      <c r="AB573" s="1788"/>
      <c r="AC573" s="1788"/>
      <c r="AD573" s="1788"/>
      <c r="AE573" s="1788"/>
      <c r="AF573" s="1788"/>
      <c r="AG573" s="1788"/>
      <c r="AH573" s="1788"/>
      <c r="AI573" s="1788"/>
      <c r="AJ573" s="1788"/>
      <c r="AK573" s="1788"/>
      <c r="AM573" s="72"/>
      <c r="AN573" s="72"/>
      <c r="AO573" s="72"/>
      <c r="AP573" s="72"/>
      <c r="AQ573" s="72"/>
      <c r="AR573" s="72"/>
      <c r="AS573" s="72"/>
      <c r="AT573" s="72"/>
      <c r="AU573" s="72"/>
      <c r="AV573" s="72"/>
      <c r="AW573" s="72"/>
      <c r="AX573" s="72"/>
      <c r="AY573" s="72"/>
      <c r="AZ573" s="72"/>
      <c r="BA573" s="72"/>
      <c r="BB573" s="72"/>
      <c r="BC573" s="72"/>
      <c r="BD573" s="72"/>
      <c r="BE573" s="72"/>
      <c r="BF573" s="72"/>
      <c r="BG573" s="72"/>
      <c r="BH573" s="72"/>
      <c r="BI573" s="72"/>
      <c r="BJ573" s="72"/>
      <c r="BK573" s="72"/>
      <c r="BL573" s="72"/>
      <c r="BM573" s="72"/>
      <c r="BN573" s="72"/>
      <c r="BO573" s="72"/>
      <c r="BP573" s="72"/>
      <c r="BQ573" s="72"/>
      <c r="BR573" s="72"/>
      <c r="BS573" s="72"/>
      <c r="BT573" s="72"/>
      <c r="BU573" s="72"/>
      <c r="BV573" s="72"/>
      <c r="BW573" s="72"/>
      <c r="BX573" s="72"/>
      <c r="BY573" s="72"/>
      <c r="BZ573" s="72"/>
      <c r="CA573" s="72"/>
      <c r="CB573" s="72"/>
      <c r="CC573" s="72"/>
      <c r="CD573" s="72"/>
      <c r="CE573" s="72"/>
      <c r="CF573" s="72"/>
      <c r="CG573" s="72"/>
      <c r="CH573" s="72"/>
      <c r="CI573" s="72"/>
      <c r="CJ573" s="72"/>
      <c r="CK573" s="72"/>
      <c r="CL573" s="72"/>
      <c r="CM573" s="72"/>
      <c r="CN573" s="72"/>
      <c r="CO573" s="72"/>
      <c r="CP573" s="72"/>
      <c r="CQ573" s="72"/>
      <c r="CR573" s="72"/>
      <c r="CS573" s="72"/>
    </row>
    <row r="574" spans="1:97" ht="13.2">
      <c r="A574" s="46"/>
      <c r="B574" s="16" t="s">
        <v>479</v>
      </c>
      <c r="G574" s="1787" t="s">
        <v>121</v>
      </c>
      <c r="H574" s="1788"/>
      <c r="I574" s="1788"/>
      <c r="J574" s="1788"/>
      <c r="K574" s="1788"/>
      <c r="L574" s="1788"/>
      <c r="M574" s="1788"/>
      <c r="N574" s="1788"/>
      <c r="O574" s="1788"/>
      <c r="P574" s="1788"/>
      <c r="Q574" s="1788"/>
      <c r="R574" s="1788"/>
      <c r="S574" s="102"/>
      <c r="T574" s="46"/>
      <c r="U574" s="16" t="s">
        <v>479</v>
      </c>
      <c r="Z574" s="1797" t="s">
        <v>439</v>
      </c>
      <c r="AA574" s="1796"/>
      <c r="AB574" s="1796"/>
      <c r="AC574" s="1796"/>
      <c r="AD574" s="1796"/>
      <c r="AE574" s="1796"/>
      <c r="AF574" s="1796"/>
      <c r="AG574" s="1796"/>
      <c r="AH574" s="1796"/>
      <c r="AI574" s="1796"/>
      <c r="AJ574" s="1796"/>
      <c r="AK574" s="1796"/>
      <c r="AM574" s="72"/>
      <c r="AN574" s="72"/>
      <c r="AO574" s="72"/>
      <c r="AP574" s="72"/>
      <c r="AQ574" s="72"/>
      <c r="AR574" s="72"/>
      <c r="AS574" s="72"/>
      <c r="AT574" s="72"/>
      <c r="AU574" s="72"/>
      <c r="AV574" s="72"/>
      <c r="AW574" s="72"/>
      <c r="AX574" s="72"/>
      <c r="AY574" s="72"/>
      <c r="AZ574" s="72"/>
      <c r="BA574" s="72"/>
      <c r="BB574" s="72"/>
      <c r="BC574" s="72"/>
      <c r="BD574" s="72"/>
      <c r="BE574" s="72"/>
      <c r="BF574" s="72"/>
      <c r="BG574" s="72"/>
      <c r="BH574" s="72"/>
      <c r="BI574" s="72"/>
      <c r="BJ574" s="72"/>
      <c r="BK574" s="72"/>
      <c r="BL574" s="72"/>
      <c r="BM574" s="72"/>
      <c r="BN574" s="72"/>
      <c r="BO574" s="72"/>
      <c r="BP574" s="72"/>
      <c r="BQ574" s="72"/>
      <c r="BR574" s="72"/>
      <c r="BS574" s="72"/>
      <c r="BT574" s="72"/>
      <c r="BU574" s="72"/>
      <c r="BV574" s="72"/>
      <c r="BW574" s="72"/>
      <c r="BX574" s="72"/>
      <c r="BY574" s="72"/>
      <c r="BZ574" s="72"/>
      <c r="CA574" s="72"/>
      <c r="CB574" s="72"/>
      <c r="CC574" s="72"/>
      <c r="CD574" s="72"/>
      <c r="CE574" s="72"/>
      <c r="CF574" s="72"/>
      <c r="CG574" s="72"/>
      <c r="CH574" s="72"/>
      <c r="CI574" s="72"/>
      <c r="CJ574" s="72"/>
      <c r="CK574" s="72"/>
      <c r="CL574" s="72"/>
      <c r="CM574" s="72"/>
      <c r="CN574" s="72"/>
      <c r="CO574" s="72"/>
      <c r="CP574" s="72"/>
      <c r="CQ574" s="72"/>
      <c r="CR574" s="72"/>
      <c r="CS574" s="72"/>
    </row>
    <row r="575" spans="1:97" ht="13.2">
      <c r="A575" s="46"/>
      <c r="B575" s="16" t="s">
        <v>915</v>
      </c>
      <c r="G575" s="1787" t="s">
        <v>2423</v>
      </c>
      <c r="H575" s="1788"/>
      <c r="I575" s="1788"/>
      <c r="J575" s="1788"/>
      <c r="K575" s="1788"/>
      <c r="L575" s="1788"/>
      <c r="M575" s="1788"/>
      <c r="N575" s="1788"/>
      <c r="O575" s="1788"/>
      <c r="P575" s="1788"/>
      <c r="Q575" s="1788"/>
      <c r="R575" s="1788"/>
      <c r="S575" s="18"/>
      <c r="T575" s="46"/>
      <c r="U575" s="16" t="s">
        <v>915</v>
      </c>
      <c r="Z575" s="1797" t="s">
        <v>2432</v>
      </c>
      <c r="AA575" s="1796"/>
      <c r="AB575" s="1796"/>
      <c r="AC575" s="1796"/>
      <c r="AD575" s="1796"/>
      <c r="AE575" s="1796"/>
      <c r="AF575" s="1796"/>
      <c r="AG575" s="1796"/>
      <c r="AH575" s="1796"/>
      <c r="AI575" s="1796"/>
      <c r="AJ575" s="1796"/>
      <c r="AK575" s="1796"/>
      <c r="AM575" s="72"/>
      <c r="AN575" s="72"/>
      <c r="AO575" s="72"/>
      <c r="AP575" s="72"/>
      <c r="AQ575" s="72"/>
      <c r="AR575" s="72"/>
      <c r="AS575" s="72"/>
      <c r="AT575" s="72"/>
      <c r="AU575" s="72"/>
      <c r="AV575" s="72"/>
      <c r="AW575" s="72"/>
      <c r="AX575" s="72"/>
      <c r="AY575" s="72"/>
      <c r="BA575" s="72"/>
      <c r="BB575" s="72"/>
      <c r="BC575" s="72"/>
      <c r="BD575" s="72"/>
      <c r="BE575" s="72"/>
      <c r="BF575" s="72"/>
      <c r="BG575" s="72"/>
      <c r="BH575" s="72"/>
      <c r="BI575" s="72"/>
      <c r="BJ575" s="72"/>
      <c r="BK575" s="72"/>
      <c r="BL575" s="72"/>
      <c r="BM575" s="72"/>
      <c r="BN575" s="72"/>
      <c r="BO575" s="72"/>
      <c r="BP575" s="72"/>
      <c r="BQ575" s="72"/>
      <c r="BR575" s="72"/>
      <c r="BS575" s="72"/>
      <c r="BT575" s="72"/>
      <c r="BU575" s="72"/>
      <c r="BV575" s="72"/>
      <c r="BW575" s="72"/>
      <c r="BX575" s="72"/>
      <c r="BY575" s="72"/>
      <c r="BZ575" s="72"/>
      <c r="CA575" s="72"/>
      <c r="CB575" s="72"/>
      <c r="CC575" s="72"/>
      <c r="CD575" s="72"/>
      <c r="CE575" s="72"/>
      <c r="CF575" s="72"/>
      <c r="CG575" s="72"/>
      <c r="CH575" s="72"/>
      <c r="CI575" s="72"/>
      <c r="CJ575" s="72"/>
      <c r="CK575" s="72"/>
      <c r="CL575" s="72"/>
      <c r="CM575" s="72"/>
      <c r="CN575" s="72"/>
      <c r="CO575" s="72"/>
      <c r="CP575" s="72"/>
      <c r="CQ575" s="72"/>
      <c r="CR575" s="72"/>
      <c r="CS575" s="72"/>
    </row>
    <row r="576" spans="1:97" ht="12.75" customHeight="1">
      <c r="A576" s="46"/>
      <c r="B576" s="16" t="s">
        <v>716</v>
      </c>
      <c r="G576" s="1789" t="s">
        <v>2424</v>
      </c>
      <c r="H576" s="1790"/>
      <c r="I576" s="1790"/>
      <c r="J576" s="1790"/>
      <c r="K576" s="1790"/>
      <c r="L576" s="1790"/>
      <c r="O576" s="149" t="s">
        <v>900</v>
      </c>
      <c r="P576" s="1785"/>
      <c r="Q576" s="1785"/>
      <c r="R576" s="1785"/>
      <c r="S576" s="20"/>
      <c r="T576" s="46"/>
      <c r="U576" s="16" t="s">
        <v>716</v>
      </c>
      <c r="Z576" s="1789" t="s">
        <v>2433</v>
      </c>
      <c r="AA576" s="1790"/>
      <c r="AB576" s="1790"/>
      <c r="AC576" s="1790"/>
      <c r="AD576" s="1790"/>
      <c r="AE576" s="1790"/>
      <c r="AH576" s="149" t="s">
        <v>900</v>
      </c>
      <c r="AI576" s="1785"/>
      <c r="AJ576" s="1785"/>
      <c r="AK576" s="1785"/>
      <c r="AM576" s="72"/>
      <c r="AN576" s="72"/>
      <c r="AO576" s="72"/>
      <c r="AP576" s="72"/>
      <c r="AQ576" s="72"/>
      <c r="AR576" s="72"/>
      <c r="AS576" s="72"/>
      <c r="AT576" s="72"/>
      <c r="AU576" s="72"/>
      <c r="AV576" s="72"/>
      <c r="AW576" s="72"/>
      <c r="AX576" s="72"/>
      <c r="AY576" s="72"/>
      <c r="BA576" s="72"/>
      <c r="BB576" s="72"/>
      <c r="BC576" s="72"/>
      <c r="BD576" s="72"/>
      <c r="BE576" s="72"/>
      <c r="BF576" s="72"/>
      <c r="BG576" s="72"/>
      <c r="BH576" s="72"/>
      <c r="BI576" s="72"/>
      <c r="BJ576" s="72"/>
      <c r="BK576" s="72"/>
      <c r="BL576" s="72"/>
      <c r="BM576" s="72"/>
      <c r="BN576" s="72"/>
      <c r="BO576" s="72"/>
      <c r="BP576" s="72"/>
      <c r="BQ576" s="72"/>
      <c r="BR576" s="72"/>
      <c r="BS576" s="72"/>
      <c r="BT576" s="72"/>
      <c r="BU576" s="72"/>
      <c r="BV576" s="72"/>
      <c r="BW576" s="72"/>
      <c r="BX576" s="72"/>
      <c r="BY576" s="72"/>
      <c r="BZ576" s="72"/>
      <c r="CA576" s="72"/>
      <c r="CB576" s="72"/>
      <c r="CC576" s="72"/>
      <c r="CD576" s="72"/>
      <c r="CE576" s="72"/>
      <c r="CF576" s="72"/>
      <c r="CG576" s="72"/>
      <c r="CH576" s="72"/>
      <c r="CI576" s="72"/>
      <c r="CJ576" s="72"/>
      <c r="CK576" s="72"/>
      <c r="CL576" s="72"/>
      <c r="CM576" s="72"/>
      <c r="CN576" s="72"/>
      <c r="CO576" s="72"/>
      <c r="CP576" s="72"/>
      <c r="CQ576" s="72"/>
      <c r="CR576" s="72"/>
      <c r="CS576" s="72"/>
    </row>
    <row r="577" spans="1:97" ht="12.75" customHeight="1">
      <c r="A577" s="46"/>
      <c r="B577" s="16" t="s">
        <v>916</v>
      </c>
      <c r="H577" s="1787" t="s">
        <v>2425</v>
      </c>
      <c r="I577" s="1788"/>
      <c r="J577" s="1788"/>
      <c r="K577" s="1788"/>
      <c r="L577" s="1788"/>
      <c r="M577" s="1788"/>
      <c r="N577" s="1788"/>
      <c r="O577" s="1788"/>
      <c r="P577" s="1788"/>
      <c r="Q577" s="1788"/>
      <c r="R577" s="1788"/>
      <c r="S577" s="18"/>
      <c r="T577" s="46"/>
      <c r="U577" s="16" t="s">
        <v>916</v>
      </c>
      <c r="AA577" s="1787" t="s">
        <v>2427</v>
      </c>
      <c r="AB577" s="1788"/>
      <c r="AC577" s="1788"/>
      <c r="AD577" s="1788"/>
      <c r="AE577" s="1788"/>
      <c r="AF577" s="1788"/>
      <c r="AG577" s="1788"/>
      <c r="AH577" s="1788"/>
      <c r="AI577" s="1788"/>
      <c r="AJ577" s="1788"/>
      <c r="AK577" s="1788"/>
      <c r="AM577" s="72"/>
      <c r="AN577" s="72"/>
      <c r="AO577" s="72"/>
      <c r="AP577" s="72"/>
      <c r="AQ577" s="72"/>
      <c r="AR577" s="72"/>
      <c r="AS577" s="72"/>
      <c r="AT577" s="72"/>
      <c r="AU577" s="72"/>
      <c r="AV577" s="72"/>
      <c r="AW577" s="72"/>
      <c r="AX577" s="72"/>
      <c r="AY577" s="72"/>
      <c r="AZ577" s="72"/>
      <c r="BA577" s="72"/>
      <c r="BB577" s="72"/>
      <c r="BC577" s="72"/>
      <c r="BD577" s="72"/>
      <c r="BE577" s="72"/>
      <c r="BF577" s="72"/>
      <c r="BG577" s="72"/>
      <c r="BH577" s="72"/>
      <c r="BI577" s="72"/>
      <c r="BJ577" s="72"/>
      <c r="BK577" s="72"/>
      <c r="BL577" s="72"/>
      <c r="BM577" s="72"/>
      <c r="BN577" s="72"/>
      <c r="BO577" s="72"/>
      <c r="BP577" s="72"/>
      <c r="BQ577" s="72"/>
      <c r="BR577" s="72"/>
      <c r="BS577" s="72"/>
      <c r="BT577" s="72"/>
      <c r="BU577" s="72"/>
      <c r="BV577" s="72"/>
      <c r="BW577" s="72"/>
      <c r="BX577" s="72"/>
      <c r="BY577" s="72"/>
      <c r="BZ577" s="72"/>
      <c r="CA577" s="72"/>
      <c r="CB577" s="72"/>
      <c r="CC577" s="72"/>
      <c r="CD577" s="72"/>
      <c r="CE577" s="72"/>
      <c r="CF577" s="72"/>
      <c r="CG577" s="72"/>
      <c r="CH577" s="72"/>
      <c r="CI577" s="72"/>
      <c r="CJ577" s="72"/>
      <c r="CK577" s="72"/>
      <c r="CL577" s="72"/>
      <c r="CM577" s="72"/>
      <c r="CN577" s="72"/>
      <c r="CO577" s="72"/>
      <c r="CP577" s="72"/>
      <c r="CQ577" s="72"/>
      <c r="CR577" s="72"/>
      <c r="CS577" s="72"/>
    </row>
    <row r="578" spans="1:97" ht="12.75" customHeight="1">
      <c r="A578" s="46"/>
      <c r="B578" s="16" t="s">
        <v>918</v>
      </c>
      <c r="N578" s="1786" t="s">
        <v>119</v>
      </c>
      <c r="O578" s="1786"/>
      <c r="T578" s="46"/>
      <c r="U578" s="16" t="s">
        <v>918</v>
      </c>
      <c r="AG578" s="1786" t="s">
        <v>119</v>
      </c>
      <c r="AH578" s="1786"/>
      <c r="AM578" s="72"/>
      <c r="AN578" s="72"/>
      <c r="AO578" s="72"/>
      <c r="AP578" s="72"/>
      <c r="AQ578" s="72"/>
      <c r="AR578" s="72"/>
      <c r="AS578" s="72"/>
      <c r="AT578" s="72"/>
      <c r="AU578" s="72"/>
      <c r="AV578" s="72"/>
      <c r="AW578" s="72"/>
      <c r="AX578" s="72"/>
      <c r="AY578" s="72"/>
      <c r="AZ578" s="72"/>
      <c r="BA578" s="72"/>
      <c r="BB578" s="72"/>
      <c r="BC578" s="72"/>
      <c r="BD578" s="72"/>
      <c r="BE578" s="72"/>
      <c r="BF578" s="72"/>
      <c r="BG578" s="72"/>
      <c r="BH578" s="72"/>
      <c r="BI578" s="72"/>
      <c r="BJ578" s="72"/>
      <c r="BK578" s="72"/>
      <c r="BL578" s="72"/>
      <c r="BM578" s="72"/>
      <c r="BN578" s="72"/>
      <c r="BO578" s="72"/>
      <c r="BP578" s="72"/>
      <c r="BQ578" s="72"/>
      <c r="BR578" s="72"/>
      <c r="BS578" s="72"/>
      <c r="BT578" s="72"/>
      <c r="BU578" s="72"/>
      <c r="BV578" s="72"/>
      <c r="BW578" s="72"/>
      <c r="BX578" s="72"/>
      <c r="BY578" s="72"/>
      <c r="BZ578" s="72"/>
      <c r="CA578" s="72"/>
      <c r="CB578" s="72"/>
      <c r="CC578" s="72"/>
      <c r="CD578" s="72"/>
      <c r="CE578" s="72"/>
      <c r="CF578" s="72"/>
      <c r="CG578" s="72"/>
      <c r="CH578" s="72"/>
      <c r="CI578" s="72"/>
      <c r="CJ578" s="72"/>
      <c r="CK578" s="72"/>
      <c r="CL578" s="72"/>
      <c r="CM578" s="72"/>
      <c r="CN578" s="72"/>
      <c r="CO578" s="72"/>
      <c r="CP578" s="72"/>
      <c r="CQ578" s="72"/>
      <c r="CR578" s="72"/>
      <c r="CS578" s="72"/>
    </row>
    <row r="579" spans="1:97" ht="12.75" customHeight="1">
      <c r="AM579" s="72"/>
      <c r="AN579" s="72"/>
      <c r="AO579" s="72"/>
      <c r="AP579" s="72"/>
      <c r="AQ579" s="72"/>
      <c r="AR579" s="72"/>
      <c r="AS579" s="72"/>
      <c r="AT579" s="72"/>
      <c r="AU579" s="72"/>
      <c r="AV579" s="72"/>
      <c r="AW579" s="72"/>
      <c r="AX579" s="72"/>
      <c r="AY579" s="72"/>
      <c r="AZ579" s="72"/>
      <c r="BA579" s="72"/>
      <c r="BB579" s="72"/>
      <c r="BC579" s="72"/>
      <c r="BD579" s="72"/>
      <c r="BE579" s="72"/>
      <c r="BF579" s="72"/>
      <c r="BG579" s="72"/>
      <c r="BH579" s="72"/>
      <c r="BI579" s="72"/>
      <c r="BJ579" s="72"/>
      <c r="BK579" s="72"/>
      <c r="BL579" s="72"/>
      <c r="BM579" s="72"/>
      <c r="BN579" s="72"/>
      <c r="BO579" s="72"/>
      <c r="BP579" s="72"/>
      <c r="BQ579" s="72"/>
      <c r="BR579" s="72"/>
      <c r="BS579" s="72"/>
      <c r="BT579" s="72"/>
      <c r="BU579" s="72"/>
      <c r="BV579" s="72"/>
      <c r="BW579" s="72"/>
      <c r="BX579" s="72"/>
      <c r="BY579" s="72"/>
      <c r="BZ579" s="72"/>
      <c r="CA579" s="72"/>
      <c r="CB579" s="72"/>
      <c r="CC579" s="72"/>
      <c r="CD579" s="72"/>
      <c r="CE579" s="72"/>
      <c r="CF579" s="72"/>
      <c r="CG579" s="72"/>
      <c r="CH579" s="72"/>
      <c r="CI579" s="72"/>
      <c r="CJ579" s="72"/>
      <c r="CK579" s="72"/>
      <c r="CL579" s="72"/>
      <c r="CM579" s="72"/>
      <c r="CN579" s="72"/>
      <c r="CO579" s="72"/>
      <c r="CP579" s="72"/>
      <c r="CQ579" s="72"/>
      <c r="CR579" s="72"/>
      <c r="CS579" s="72"/>
    </row>
    <row r="580" spans="1:97" ht="12.75" customHeight="1">
      <c r="A580" s="101" t="s">
        <v>1011</v>
      </c>
      <c r="B580" s="16" t="s">
        <v>93</v>
      </c>
      <c r="G580" s="1791">
        <f>C560</f>
        <v>0</v>
      </c>
      <c r="H580" s="1791"/>
      <c r="I580" s="1791"/>
      <c r="J580" s="1791"/>
      <c r="K580" s="1791"/>
      <c r="L580" s="1791"/>
      <c r="M580" s="1791"/>
      <c r="N580" s="1791"/>
      <c r="O580" s="1791"/>
      <c r="P580" s="1791"/>
      <c r="Q580" s="1791"/>
      <c r="R580" s="1791"/>
      <c r="T580" s="101" t="s">
        <v>480</v>
      </c>
      <c r="U580" s="16" t="s">
        <v>93</v>
      </c>
      <c r="Z580" s="1791" t="str">
        <f>C561</f>
        <v>Fresno HA Loan</v>
      </c>
      <c r="AA580" s="1791"/>
      <c r="AB580" s="1791"/>
      <c r="AC580" s="1791"/>
      <c r="AD580" s="1791"/>
      <c r="AE580" s="1791"/>
      <c r="AF580" s="1791"/>
      <c r="AG580" s="1791"/>
      <c r="AH580" s="1791"/>
      <c r="AI580" s="1791"/>
      <c r="AJ580" s="1791"/>
      <c r="AK580" s="1791"/>
      <c r="AM580" s="72"/>
      <c r="AN580" s="72"/>
      <c r="AO580" s="72"/>
      <c r="AP580" s="72"/>
      <c r="AQ580" s="72"/>
      <c r="AR580" s="72"/>
      <c r="AS580" s="72"/>
      <c r="AT580" s="72"/>
      <c r="AU580" s="72"/>
      <c r="AV580" s="72"/>
      <c r="AW580" s="72"/>
      <c r="AX580" s="72"/>
      <c r="AY580" s="72"/>
      <c r="AZ580" s="72"/>
      <c r="BA580" s="72"/>
      <c r="BB580" s="72"/>
      <c r="BC580" s="72"/>
      <c r="BD580" s="72"/>
      <c r="BE580" s="72"/>
      <c r="BF580" s="72"/>
      <c r="BG580" s="72"/>
      <c r="BH580" s="72"/>
      <c r="BI580" s="72"/>
      <c r="BJ580" s="72"/>
      <c r="BK580" s="72"/>
      <c r="BL580" s="72"/>
      <c r="BM580" s="72"/>
      <c r="BN580" s="72"/>
      <c r="BO580" s="72"/>
      <c r="BP580" s="72"/>
      <c r="BQ580" s="72"/>
      <c r="BR580" s="72"/>
      <c r="BS580" s="72"/>
      <c r="BT580" s="72"/>
      <c r="BU580" s="72"/>
      <c r="BV580" s="72"/>
      <c r="BW580" s="72"/>
      <c r="BX580" s="72"/>
      <c r="BY580" s="72"/>
      <c r="BZ580" s="72"/>
      <c r="CA580" s="72"/>
      <c r="CB580" s="72"/>
      <c r="CC580" s="72"/>
      <c r="CD580" s="72"/>
      <c r="CE580" s="72"/>
      <c r="CF580" s="72"/>
      <c r="CG580" s="72"/>
      <c r="CH580" s="72"/>
      <c r="CI580" s="72"/>
      <c r="CJ580" s="72"/>
      <c r="CK580" s="72"/>
      <c r="CL580" s="72"/>
      <c r="CM580" s="72"/>
      <c r="CN580" s="72"/>
      <c r="CO580" s="72"/>
      <c r="CP580" s="72"/>
      <c r="CQ580" s="72"/>
      <c r="CR580" s="72"/>
      <c r="CS580" s="72"/>
    </row>
    <row r="581" spans="1:97" ht="12.75" customHeight="1">
      <c r="A581" s="46"/>
      <c r="B581" s="16" t="s">
        <v>416</v>
      </c>
      <c r="G581" s="1796"/>
      <c r="H581" s="1796"/>
      <c r="I581" s="1796"/>
      <c r="J581" s="1796"/>
      <c r="K581" s="1796"/>
      <c r="L581" s="1796"/>
      <c r="M581" s="1796"/>
      <c r="N581" s="1796"/>
      <c r="O581" s="1796"/>
      <c r="P581" s="1796"/>
      <c r="Q581" s="1796"/>
      <c r="R581" s="1796"/>
      <c r="T581" s="46"/>
      <c r="U581" s="16" t="s">
        <v>416</v>
      </c>
      <c r="Z581" s="1787" t="s">
        <v>2342</v>
      </c>
      <c r="AA581" s="1788"/>
      <c r="AB581" s="1788"/>
      <c r="AC581" s="1788"/>
      <c r="AD581" s="1788"/>
      <c r="AE581" s="1788"/>
      <c r="AF581" s="1788"/>
      <c r="AG581" s="1788"/>
      <c r="AH581" s="1788"/>
      <c r="AI581" s="1788"/>
      <c r="AJ581" s="1788"/>
      <c r="AK581" s="1788"/>
      <c r="AM581" s="72"/>
      <c r="AN581" s="72"/>
      <c r="AO581" s="72"/>
      <c r="AP581" s="72"/>
      <c r="AQ581" s="72"/>
      <c r="AR581" s="72"/>
      <c r="AS581" s="72"/>
      <c r="AT581" s="72"/>
      <c r="AU581" s="72"/>
      <c r="AV581" s="72"/>
      <c r="AW581" s="72"/>
      <c r="AX581" s="72"/>
      <c r="AY581" s="72"/>
      <c r="AZ581" s="72"/>
      <c r="BA581" s="72"/>
      <c r="BB581" s="72"/>
      <c r="BC581" s="72"/>
      <c r="BD581" s="72"/>
      <c r="BE581" s="72"/>
      <c r="BF581" s="72"/>
      <c r="BG581" s="72"/>
      <c r="BH581" s="72"/>
      <c r="BI581" s="72"/>
      <c r="BJ581" s="72"/>
      <c r="BK581" s="72"/>
      <c r="BL581" s="72"/>
      <c r="BM581" s="72"/>
      <c r="BN581" s="72"/>
      <c r="BO581" s="72"/>
      <c r="BP581" s="72"/>
      <c r="BQ581" s="72"/>
      <c r="BR581" s="72"/>
      <c r="BS581" s="72"/>
      <c r="BT581" s="72"/>
      <c r="BU581" s="72"/>
      <c r="BV581" s="72"/>
      <c r="BW581" s="72"/>
      <c r="BX581" s="72"/>
      <c r="BY581" s="72"/>
      <c r="BZ581" s="72"/>
      <c r="CA581" s="72"/>
      <c r="CB581" s="72"/>
      <c r="CC581" s="72"/>
      <c r="CD581" s="72"/>
      <c r="CE581" s="72"/>
      <c r="CF581" s="72"/>
      <c r="CG581" s="72"/>
      <c r="CH581" s="72"/>
      <c r="CI581" s="72"/>
      <c r="CJ581" s="72"/>
      <c r="CK581" s="72"/>
      <c r="CL581" s="72"/>
      <c r="CM581" s="72"/>
      <c r="CN581" s="72"/>
      <c r="CO581" s="72"/>
      <c r="CP581" s="72"/>
      <c r="CQ581" s="72"/>
      <c r="CR581" s="72"/>
      <c r="CS581" s="72"/>
    </row>
    <row r="582" spans="1:97" ht="12.75" customHeight="1">
      <c r="A582" s="46"/>
      <c r="B582" s="16" t="s">
        <v>479</v>
      </c>
      <c r="G582" s="1796"/>
      <c r="H582" s="1796"/>
      <c r="I582" s="1796"/>
      <c r="J582" s="1796"/>
      <c r="K582" s="1796"/>
      <c r="L582" s="1796"/>
      <c r="M582" s="1796"/>
      <c r="N582" s="1796"/>
      <c r="O582" s="1796"/>
      <c r="P582" s="1796"/>
      <c r="Q582" s="1796"/>
      <c r="R582" s="1796"/>
      <c r="T582" s="46"/>
      <c r="U582" s="16" t="s">
        <v>479</v>
      </c>
      <c r="Z582" s="1797" t="s">
        <v>2426</v>
      </c>
      <c r="AA582" s="1796"/>
      <c r="AB582" s="1796"/>
      <c r="AC582" s="1796"/>
      <c r="AD582" s="1796"/>
      <c r="AE582" s="1796"/>
      <c r="AF582" s="1796"/>
      <c r="AG582" s="1796"/>
      <c r="AH582" s="1796"/>
      <c r="AI582" s="1796"/>
      <c r="AJ582" s="1796"/>
      <c r="AK582" s="1796"/>
      <c r="AM582" s="72"/>
      <c r="AN582" s="72"/>
      <c r="AO582" s="72"/>
      <c r="AP582" s="72"/>
      <c r="AQ582" s="72"/>
      <c r="AR582" s="72"/>
      <c r="AS582" s="72"/>
      <c r="AT582" s="72"/>
      <c r="AU582" s="72"/>
      <c r="AV582" s="72"/>
      <c r="AW582" s="72"/>
      <c r="AX582" s="72"/>
      <c r="AY582" s="72"/>
      <c r="AZ582" s="72"/>
      <c r="BA582" s="72"/>
      <c r="BB582" s="72"/>
      <c r="BC582" s="72"/>
      <c r="BD582" s="72"/>
      <c r="BE582" s="72"/>
      <c r="BF582" s="72"/>
      <c r="BG582" s="72"/>
      <c r="BH582" s="72"/>
      <c r="BI582" s="72"/>
      <c r="BJ582" s="72"/>
      <c r="BK582" s="72"/>
      <c r="BL582" s="72"/>
      <c r="BM582" s="72"/>
      <c r="BN582" s="72"/>
      <c r="BO582" s="72"/>
      <c r="BP582" s="72"/>
      <c r="BQ582" s="72"/>
      <c r="BR582" s="72"/>
      <c r="BS582" s="72"/>
      <c r="BT582" s="72"/>
      <c r="BU582" s="72"/>
      <c r="BV582" s="72"/>
      <c r="BW582" s="72"/>
      <c r="BX582" s="72"/>
      <c r="BY582" s="72"/>
      <c r="BZ582" s="72"/>
      <c r="CA582" s="72"/>
      <c r="CB582" s="72"/>
      <c r="CC582" s="72"/>
      <c r="CD582" s="72"/>
      <c r="CE582" s="72"/>
      <c r="CF582" s="72"/>
      <c r="CG582" s="72"/>
      <c r="CH582" s="72"/>
      <c r="CI582" s="72"/>
      <c r="CJ582" s="72"/>
      <c r="CK582" s="72"/>
      <c r="CL582" s="72"/>
      <c r="CM582" s="72"/>
      <c r="CN582" s="72"/>
      <c r="CO582" s="72"/>
      <c r="CP582" s="72"/>
      <c r="CQ582" s="72"/>
      <c r="CR582" s="72"/>
      <c r="CS582" s="72"/>
    </row>
    <row r="583" spans="1:97" ht="12.75" customHeight="1">
      <c r="A583" s="46"/>
      <c r="B583" s="16" t="s">
        <v>915</v>
      </c>
      <c r="G583" s="1796"/>
      <c r="H583" s="1796"/>
      <c r="I583" s="1796"/>
      <c r="J583" s="1796"/>
      <c r="K583" s="1796"/>
      <c r="L583" s="1796"/>
      <c r="M583" s="1796"/>
      <c r="N583" s="1796"/>
      <c r="O583" s="1796"/>
      <c r="P583" s="1796"/>
      <c r="Q583" s="1796"/>
      <c r="R583" s="1796"/>
      <c r="T583" s="46"/>
      <c r="U583" s="16" t="s">
        <v>915</v>
      </c>
      <c r="Z583" s="1797" t="s">
        <v>2506</v>
      </c>
      <c r="AA583" s="1796"/>
      <c r="AB583" s="1796"/>
      <c r="AC583" s="1796"/>
      <c r="AD583" s="1796"/>
      <c r="AE583" s="1796"/>
      <c r="AF583" s="1796"/>
      <c r="AG583" s="1796"/>
      <c r="AH583" s="1796"/>
      <c r="AI583" s="1796"/>
      <c r="AJ583" s="1796"/>
      <c r="AK583" s="1796"/>
      <c r="AM583" s="72"/>
      <c r="AN583" s="72"/>
      <c r="AO583" s="72"/>
      <c r="AP583" s="72"/>
      <c r="AQ583" s="72"/>
      <c r="AR583" s="72"/>
      <c r="AS583" s="72"/>
      <c r="AT583" s="72"/>
      <c r="AU583" s="72"/>
      <c r="AV583" s="72"/>
      <c r="AW583" s="72"/>
      <c r="AX583" s="72"/>
      <c r="AY583" s="72"/>
      <c r="AZ583" s="72"/>
      <c r="BA583" s="72"/>
      <c r="BB583" s="72"/>
      <c r="BC583" s="72"/>
      <c r="BD583" s="72"/>
      <c r="BE583" s="72"/>
      <c r="BF583" s="72"/>
      <c r="BG583" s="72"/>
      <c r="BH583" s="72"/>
      <c r="BI583" s="72"/>
      <c r="BJ583" s="72"/>
      <c r="BK583" s="72"/>
      <c r="BL583" s="72"/>
      <c r="BM583" s="72"/>
      <c r="BN583" s="72"/>
      <c r="BO583" s="72"/>
      <c r="BP583" s="72"/>
      <c r="BQ583" s="72"/>
      <c r="BR583" s="72"/>
      <c r="BS583" s="72"/>
      <c r="BT583" s="72"/>
      <c r="BU583" s="72"/>
      <c r="BV583" s="72"/>
      <c r="BW583" s="72"/>
      <c r="BX583" s="72"/>
      <c r="BY583" s="72"/>
      <c r="BZ583" s="72"/>
      <c r="CA583" s="72"/>
      <c r="CB583" s="72"/>
      <c r="CC583" s="72"/>
      <c r="CD583" s="72"/>
      <c r="CE583" s="72"/>
      <c r="CF583" s="72"/>
      <c r="CG583" s="72"/>
      <c r="CH583" s="72"/>
      <c r="CI583" s="72"/>
      <c r="CJ583" s="72"/>
      <c r="CK583" s="72"/>
      <c r="CL583" s="72"/>
      <c r="CM583" s="72"/>
      <c r="CN583" s="72"/>
      <c r="CO583" s="72"/>
      <c r="CP583" s="72"/>
      <c r="CQ583" s="72"/>
      <c r="CR583" s="72"/>
      <c r="CS583" s="72"/>
    </row>
    <row r="584" spans="1:97" ht="12.75" customHeight="1">
      <c r="A584" s="46"/>
      <c r="B584" s="16" t="s">
        <v>716</v>
      </c>
      <c r="G584" s="1789"/>
      <c r="H584" s="1790"/>
      <c r="I584" s="1790"/>
      <c r="J584" s="1790"/>
      <c r="K584" s="1790"/>
      <c r="L584" s="1790"/>
      <c r="O584" s="149" t="s">
        <v>900</v>
      </c>
      <c r="P584" s="1785"/>
      <c r="Q584" s="1785"/>
      <c r="R584" s="1785"/>
      <c r="T584" s="46"/>
      <c r="U584" s="16" t="s">
        <v>716</v>
      </c>
      <c r="Z584" s="1789" t="s">
        <v>2510</v>
      </c>
      <c r="AA584" s="1790"/>
      <c r="AB584" s="1790"/>
      <c r="AC584" s="1790"/>
      <c r="AD584" s="1790"/>
      <c r="AE584" s="1790"/>
      <c r="AH584" s="149" t="s">
        <v>900</v>
      </c>
      <c r="AI584" s="1785"/>
      <c r="AJ584" s="1785"/>
      <c r="AK584" s="1785"/>
      <c r="AM584" s="72"/>
      <c r="AN584" s="72"/>
      <c r="AO584" s="72"/>
      <c r="AP584" s="72"/>
      <c r="AQ584" s="72"/>
      <c r="AR584" s="72"/>
      <c r="AS584" s="72"/>
      <c r="AT584" s="72"/>
      <c r="AU584" s="72"/>
      <c r="AV584" s="72"/>
      <c r="AW584" s="72"/>
      <c r="AX584" s="72"/>
      <c r="AY584" s="72"/>
      <c r="AZ584" s="72"/>
      <c r="BA584" s="72"/>
      <c r="BB584" s="72"/>
      <c r="BC584" s="72"/>
      <c r="BD584" s="72"/>
      <c r="BE584" s="72"/>
      <c r="BF584" s="72"/>
      <c r="BG584" s="72"/>
      <c r="BH584" s="72"/>
      <c r="BI584" s="72"/>
      <c r="BJ584" s="72"/>
      <c r="BK584" s="72"/>
      <c r="BL584" s="72"/>
      <c r="BM584" s="72"/>
      <c r="BN584" s="72"/>
      <c r="BO584" s="72"/>
      <c r="BP584" s="72"/>
      <c r="BQ584" s="72"/>
      <c r="BR584" s="72"/>
      <c r="BS584" s="72"/>
      <c r="BT584" s="72"/>
      <c r="BU584" s="72"/>
      <c r="BV584" s="72"/>
      <c r="BW584" s="72"/>
      <c r="BX584" s="72"/>
      <c r="BY584" s="72"/>
      <c r="BZ584" s="72"/>
      <c r="CA584" s="72"/>
      <c r="CB584" s="72"/>
      <c r="CC584" s="72"/>
      <c r="CD584" s="72"/>
      <c r="CE584" s="72"/>
      <c r="CF584" s="72"/>
      <c r="CG584" s="72"/>
      <c r="CH584" s="72"/>
      <c r="CI584" s="72"/>
      <c r="CJ584" s="72"/>
      <c r="CK584" s="72"/>
      <c r="CL584" s="72"/>
      <c r="CM584" s="72"/>
      <c r="CN584" s="72"/>
      <c r="CO584" s="72"/>
      <c r="CP584" s="72"/>
      <c r="CQ584" s="72"/>
      <c r="CR584" s="72"/>
      <c r="CS584" s="72"/>
    </row>
    <row r="585" spans="1:97" ht="12.75" customHeight="1">
      <c r="A585" s="46"/>
      <c r="B585" s="16" t="s">
        <v>916</v>
      </c>
      <c r="H585" s="1787"/>
      <c r="I585" s="1788"/>
      <c r="J585" s="1788"/>
      <c r="K585" s="1788"/>
      <c r="L585" s="1788"/>
      <c r="M585" s="1788"/>
      <c r="N585" s="1788"/>
      <c r="O585" s="1788"/>
      <c r="P585" s="1788"/>
      <c r="Q585" s="1788"/>
      <c r="R585" s="1788"/>
      <c r="T585" s="46"/>
      <c r="U585" s="16" t="s">
        <v>916</v>
      </c>
      <c r="AA585" s="1787" t="s">
        <v>2427</v>
      </c>
      <c r="AB585" s="1788"/>
      <c r="AC585" s="1788"/>
      <c r="AD585" s="1788"/>
      <c r="AE585" s="1788"/>
      <c r="AF585" s="1788"/>
      <c r="AG585" s="1788"/>
      <c r="AH585" s="1788"/>
      <c r="AI585" s="1788"/>
      <c r="AJ585" s="1788"/>
      <c r="AK585" s="1788"/>
      <c r="AM585" s="72"/>
      <c r="AN585" s="72"/>
      <c r="AO585" s="72"/>
      <c r="AP585" s="72"/>
      <c r="AQ585" s="72"/>
      <c r="AR585" s="72"/>
      <c r="AS585" s="72"/>
      <c r="AT585" s="72"/>
      <c r="AU585" s="72"/>
      <c r="AV585" s="72"/>
      <c r="AW585" s="72"/>
      <c r="AX585" s="72"/>
      <c r="AY585" s="72"/>
      <c r="AZ585" s="72"/>
      <c r="BA585" s="72"/>
      <c r="BB585" s="72"/>
      <c r="BC585" s="72"/>
      <c r="BD585" s="72"/>
      <c r="BE585" s="72"/>
      <c r="BF585" s="72"/>
      <c r="BG585" s="72"/>
      <c r="BH585" s="72"/>
      <c r="BI585" s="72"/>
      <c r="BJ585" s="72"/>
      <c r="BK585" s="72"/>
      <c r="BL585" s="72"/>
      <c r="BM585" s="72"/>
      <c r="BN585" s="72"/>
      <c r="BO585" s="72"/>
      <c r="BP585" s="72"/>
      <c r="BQ585" s="72"/>
      <c r="BR585" s="72"/>
      <c r="BS585" s="72"/>
      <c r="BT585" s="72"/>
      <c r="BU585" s="72"/>
      <c r="BV585" s="72"/>
      <c r="BW585" s="72"/>
      <c r="BX585" s="72"/>
      <c r="BY585" s="72"/>
      <c r="BZ585" s="72"/>
      <c r="CA585" s="72"/>
      <c r="CB585" s="72"/>
      <c r="CC585" s="72"/>
      <c r="CD585" s="72"/>
      <c r="CE585" s="72"/>
      <c r="CF585" s="72"/>
      <c r="CG585" s="72"/>
      <c r="CH585" s="72"/>
      <c r="CI585" s="72"/>
      <c r="CJ585" s="72"/>
      <c r="CK585" s="72"/>
      <c r="CL585" s="72"/>
      <c r="CM585" s="72"/>
      <c r="CN585" s="72"/>
      <c r="CO585" s="72"/>
      <c r="CP585" s="72"/>
      <c r="CQ585" s="72"/>
      <c r="CR585" s="72"/>
      <c r="CS585" s="72"/>
    </row>
    <row r="586" spans="1:97" ht="12.75" customHeight="1">
      <c r="A586" s="46"/>
      <c r="B586" s="16" t="s">
        <v>918</v>
      </c>
      <c r="N586" s="1757" t="s">
        <v>531</v>
      </c>
      <c r="O586" s="1757"/>
      <c r="T586" s="46"/>
      <c r="U586" s="16" t="s">
        <v>918</v>
      </c>
      <c r="AG586" s="1757" t="s">
        <v>119</v>
      </c>
      <c r="AH586" s="1757"/>
      <c r="AM586" s="72"/>
      <c r="AN586" s="72"/>
      <c r="AO586" s="72"/>
      <c r="AP586" s="72"/>
      <c r="AQ586" s="72"/>
      <c r="AR586" s="72"/>
      <c r="AS586" s="72"/>
      <c r="AT586" s="72"/>
      <c r="AU586" s="72"/>
      <c r="AV586" s="72"/>
      <c r="AW586" s="72"/>
      <c r="AX586" s="72"/>
      <c r="AY586" s="72"/>
      <c r="BA586" s="72"/>
      <c r="BB586" s="72"/>
      <c r="BC586" s="72"/>
      <c r="BD586" s="72"/>
      <c r="BE586" s="72"/>
      <c r="BF586" s="72"/>
      <c r="BG586" s="72"/>
      <c r="BH586" s="72"/>
      <c r="BI586" s="72"/>
      <c r="BJ586" s="72"/>
      <c r="BK586" s="72"/>
      <c r="BL586" s="72"/>
      <c r="BM586" s="72"/>
      <c r="BN586" s="72"/>
      <c r="BO586" s="72"/>
      <c r="BP586" s="72"/>
      <c r="BQ586" s="72"/>
      <c r="BR586" s="72"/>
      <c r="BS586" s="72"/>
      <c r="BT586" s="72"/>
      <c r="BU586" s="72"/>
      <c r="BV586" s="72"/>
      <c r="BW586" s="72"/>
      <c r="BX586" s="72"/>
      <c r="BY586" s="72"/>
      <c r="BZ586" s="72"/>
      <c r="CA586" s="72"/>
      <c r="CB586" s="72"/>
      <c r="CC586" s="72"/>
      <c r="CD586" s="72"/>
      <c r="CE586" s="72"/>
      <c r="CF586" s="72"/>
      <c r="CG586" s="72"/>
      <c r="CH586" s="72"/>
      <c r="CI586" s="72"/>
      <c r="CJ586" s="72"/>
      <c r="CK586" s="72"/>
      <c r="CL586" s="72"/>
      <c r="CM586" s="72"/>
      <c r="CN586" s="72"/>
      <c r="CO586" s="72"/>
      <c r="CP586" s="72"/>
      <c r="CQ586" s="72"/>
      <c r="CR586" s="72"/>
      <c r="CS586" s="72"/>
    </row>
    <row r="587" spans="1:97" ht="12.75" customHeight="1">
      <c r="AM587" s="72"/>
      <c r="AN587" s="72"/>
      <c r="AO587" s="72"/>
      <c r="AP587" s="72"/>
      <c r="AQ587" s="72"/>
      <c r="AR587" s="72"/>
      <c r="AS587" s="72"/>
      <c r="AT587" s="72"/>
      <c r="AU587" s="72"/>
      <c r="AV587" s="72"/>
      <c r="AW587" s="72"/>
      <c r="AX587" s="72"/>
      <c r="AY587" s="72"/>
      <c r="BA587" s="72"/>
      <c r="BB587" s="72"/>
      <c r="BC587" s="72"/>
      <c r="BD587" s="72"/>
      <c r="BE587" s="72"/>
      <c r="BF587" s="72"/>
      <c r="BG587" s="72"/>
      <c r="BH587" s="72"/>
      <c r="BI587" s="72"/>
      <c r="BJ587" s="72"/>
      <c r="BK587" s="72"/>
      <c r="BL587" s="72"/>
      <c r="BM587" s="72"/>
      <c r="BN587" s="72"/>
      <c r="BO587" s="72"/>
      <c r="BP587" s="72"/>
      <c r="BQ587" s="72"/>
      <c r="BR587" s="72"/>
      <c r="BS587" s="72"/>
      <c r="BT587" s="72"/>
      <c r="BU587" s="72"/>
      <c r="BV587" s="72"/>
      <c r="BW587" s="72"/>
      <c r="BX587" s="72"/>
      <c r="BY587" s="72"/>
      <c r="BZ587" s="72"/>
      <c r="CA587" s="72"/>
      <c r="CB587" s="72"/>
      <c r="CC587" s="72"/>
      <c r="CD587" s="72"/>
      <c r="CE587" s="72"/>
      <c r="CF587" s="72"/>
      <c r="CG587" s="72"/>
      <c r="CH587" s="72"/>
      <c r="CI587" s="72"/>
      <c r="CJ587" s="72"/>
      <c r="CK587" s="72"/>
      <c r="CL587" s="72"/>
      <c r="CM587" s="72"/>
      <c r="CN587" s="72"/>
      <c r="CO587" s="72"/>
      <c r="CP587" s="72"/>
      <c r="CQ587" s="72"/>
      <c r="CR587" s="72"/>
      <c r="CS587" s="72"/>
    </row>
    <row r="588" spans="1:97" ht="12.75" customHeight="1">
      <c r="A588" s="101" t="s">
        <v>188</v>
      </c>
      <c r="B588" s="16" t="s">
        <v>93</v>
      </c>
      <c r="G588" s="1791" t="str">
        <f>C562</f>
        <v>HCD IIG (Sponsor Loan)</v>
      </c>
      <c r="H588" s="1791"/>
      <c r="I588" s="1791"/>
      <c r="J588" s="1791"/>
      <c r="K588" s="1791"/>
      <c r="L588" s="1791"/>
      <c r="M588" s="1791"/>
      <c r="N588" s="1791"/>
      <c r="O588" s="1791"/>
      <c r="P588" s="1791"/>
      <c r="Q588" s="1791"/>
      <c r="R588" s="1791"/>
      <c r="T588" s="101" t="s">
        <v>483</v>
      </c>
      <c r="U588" s="16" t="s">
        <v>93</v>
      </c>
      <c r="Z588" s="1791" t="str">
        <f>C563</f>
        <v>Costs Deferred Until Conversion</v>
      </c>
      <c r="AA588" s="1791"/>
      <c r="AB588" s="1791"/>
      <c r="AC588" s="1791"/>
      <c r="AD588" s="1791"/>
      <c r="AE588" s="1791"/>
      <c r="AF588" s="1791"/>
      <c r="AG588" s="1791"/>
      <c r="AH588" s="1791"/>
      <c r="AI588" s="1791"/>
      <c r="AJ588" s="1791"/>
      <c r="AK588" s="1791"/>
      <c r="AM588" s="72"/>
      <c r="AN588" s="72"/>
      <c r="AO588" s="72"/>
      <c r="AP588" s="72"/>
      <c r="AQ588" s="72"/>
      <c r="AR588" s="72"/>
      <c r="AS588" s="72"/>
      <c r="AT588" s="72"/>
      <c r="AU588" s="72"/>
      <c r="AV588" s="72"/>
      <c r="AW588" s="72"/>
      <c r="AX588" s="72"/>
      <c r="AY588" s="72"/>
      <c r="AZ588" s="72"/>
      <c r="BA588" s="72"/>
      <c r="BB588" s="72"/>
      <c r="BC588" s="72"/>
      <c r="BD588" s="72"/>
      <c r="BE588" s="72"/>
      <c r="BF588" s="72"/>
      <c r="BG588" s="72"/>
      <c r="BH588" s="72"/>
      <c r="BI588" s="72"/>
      <c r="BJ588" s="72"/>
      <c r="BK588" s="72"/>
      <c r="BL588" s="72"/>
      <c r="BM588" s="72"/>
      <c r="BN588" s="72"/>
      <c r="BO588" s="72"/>
      <c r="BP588" s="72"/>
      <c r="BQ588" s="72"/>
      <c r="BR588" s="72"/>
      <c r="BS588" s="72"/>
      <c r="BT588" s="72"/>
      <c r="BU588" s="72"/>
      <c r="BV588" s="72"/>
      <c r="BW588" s="72"/>
      <c r="BX588" s="72"/>
      <c r="BY588" s="72"/>
      <c r="BZ588" s="72"/>
      <c r="CA588" s="72"/>
      <c r="CB588" s="72"/>
      <c r="CC588" s="72"/>
      <c r="CD588" s="72"/>
      <c r="CE588" s="72"/>
      <c r="CF588" s="72"/>
      <c r="CG588" s="72"/>
      <c r="CH588" s="72"/>
      <c r="CI588" s="72"/>
      <c r="CJ588" s="72"/>
      <c r="CK588" s="72"/>
      <c r="CL588" s="72"/>
      <c r="CM588" s="72"/>
      <c r="CN588" s="72"/>
      <c r="CO588" s="72"/>
      <c r="CP588" s="72"/>
      <c r="CQ588" s="72"/>
      <c r="CR588" s="72"/>
      <c r="CS588" s="72"/>
    </row>
    <row r="589" spans="1:97" ht="12.75" customHeight="1">
      <c r="A589" s="46"/>
      <c r="B589" s="16" t="s">
        <v>416</v>
      </c>
      <c r="G589" s="1787" t="s">
        <v>2342</v>
      </c>
      <c r="H589" s="1788"/>
      <c r="I589" s="1788"/>
      <c r="J589" s="1788"/>
      <c r="K589" s="1788"/>
      <c r="L589" s="1788"/>
      <c r="M589" s="1788"/>
      <c r="N589" s="1788"/>
      <c r="O589" s="1788"/>
      <c r="P589" s="1788"/>
      <c r="Q589" s="1788"/>
      <c r="R589" s="1788"/>
      <c r="T589" s="46"/>
      <c r="U589" s="16" t="s">
        <v>416</v>
      </c>
      <c r="Z589" s="1787" t="s">
        <v>2342</v>
      </c>
      <c r="AA589" s="1788"/>
      <c r="AB589" s="1788"/>
      <c r="AC589" s="1788"/>
      <c r="AD589" s="1788"/>
      <c r="AE589" s="1788"/>
      <c r="AF589" s="1788"/>
      <c r="AG589" s="1788"/>
      <c r="AH589" s="1788"/>
      <c r="AI589" s="1788"/>
      <c r="AJ589" s="1788"/>
      <c r="AK589" s="1788"/>
      <c r="AM589" s="72"/>
      <c r="AN589" s="72"/>
      <c r="AO589" s="72"/>
      <c r="AP589" s="72"/>
      <c r="AQ589" s="72"/>
      <c r="AR589" s="72"/>
      <c r="AS589" s="72"/>
      <c r="AT589" s="72"/>
      <c r="AU589" s="72"/>
      <c r="AV589" s="72"/>
      <c r="AW589" s="72"/>
      <c r="AX589" s="72"/>
      <c r="AY589" s="72"/>
      <c r="AZ589" s="72"/>
      <c r="BA589" s="72"/>
      <c r="BB589" s="72"/>
      <c r="BC589" s="72"/>
      <c r="BD589" s="72"/>
      <c r="BE589" s="72"/>
      <c r="BF589" s="72"/>
      <c r="BG589" s="72"/>
      <c r="BH589" s="72"/>
      <c r="BI589" s="72"/>
      <c r="BJ589" s="72"/>
      <c r="BK589" s="72"/>
      <c r="BL589" s="72"/>
      <c r="BM589" s="72"/>
      <c r="BN589" s="72"/>
      <c r="BO589" s="72"/>
      <c r="BP589" s="72"/>
      <c r="BQ589" s="72"/>
      <c r="BR589" s="72"/>
      <c r="BS589" s="72"/>
      <c r="BT589" s="72"/>
      <c r="BU589" s="72"/>
      <c r="BV589" s="72"/>
      <c r="BW589" s="72"/>
      <c r="BX589" s="72"/>
      <c r="BY589" s="72"/>
      <c r="BZ589" s="72"/>
      <c r="CA589" s="72"/>
      <c r="CB589" s="72"/>
      <c r="CC589" s="72"/>
      <c r="CD589" s="72"/>
      <c r="CE589" s="72"/>
      <c r="CF589" s="72"/>
      <c r="CG589" s="72"/>
      <c r="CH589" s="72"/>
      <c r="CI589" s="72"/>
      <c r="CJ589" s="72"/>
      <c r="CK589" s="72"/>
      <c r="CL589" s="72"/>
      <c r="CM589" s="72"/>
      <c r="CN589" s="72"/>
      <c r="CO589" s="72"/>
      <c r="CP589" s="72"/>
      <c r="CQ589" s="72"/>
      <c r="CR589" s="72"/>
      <c r="CS589" s="72"/>
    </row>
    <row r="590" spans="1:97" ht="12.75" customHeight="1">
      <c r="A590" s="46"/>
      <c r="B590" s="16" t="s">
        <v>479</v>
      </c>
      <c r="G590" s="1787" t="s">
        <v>439</v>
      </c>
      <c r="H590" s="1788"/>
      <c r="I590" s="1788"/>
      <c r="J590" s="1788"/>
      <c r="K590" s="1788"/>
      <c r="L590" s="1788"/>
      <c r="M590" s="1788"/>
      <c r="N590" s="1788"/>
      <c r="O590" s="1788"/>
      <c r="P590" s="1788"/>
      <c r="Q590" s="1788"/>
      <c r="R590" s="1788"/>
      <c r="T590" s="46"/>
      <c r="U590" s="16" t="s">
        <v>479</v>
      </c>
      <c r="Z590" s="1797" t="s">
        <v>439</v>
      </c>
      <c r="AA590" s="1796"/>
      <c r="AB590" s="1796"/>
      <c r="AC590" s="1796"/>
      <c r="AD590" s="1796"/>
      <c r="AE590" s="1796"/>
      <c r="AF590" s="1796"/>
      <c r="AG590" s="1796"/>
      <c r="AH590" s="1796"/>
      <c r="AI590" s="1796"/>
      <c r="AJ590" s="1796"/>
      <c r="AK590" s="1796"/>
      <c r="AM590" s="72"/>
      <c r="AN590" s="72"/>
      <c r="AO590" s="72"/>
      <c r="AP590" s="72"/>
      <c r="AQ590" s="72"/>
      <c r="AR590" s="72"/>
      <c r="AS590" s="72"/>
      <c r="AT590" s="72"/>
      <c r="AU590" s="72"/>
      <c r="AV590" s="72"/>
      <c r="AW590" s="72"/>
      <c r="AX590" s="72"/>
      <c r="AY590" s="72"/>
      <c r="AZ590" s="72"/>
      <c r="BA590" s="72"/>
      <c r="BB590" s="72"/>
      <c r="BC590" s="72"/>
      <c r="BD590" s="72"/>
      <c r="BE590" s="72"/>
      <c r="BF590" s="72"/>
      <c r="BG590" s="72"/>
      <c r="BH590" s="72"/>
      <c r="BI590" s="72"/>
      <c r="BJ590" s="72"/>
      <c r="BK590" s="72"/>
      <c r="BL590" s="72"/>
      <c r="BM590" s="72"/>
      <c r="BN590" s="72"/>
      <c r="BO590" s="72"/>
      <c r="BP590" s="72"/>
      <c r="BQ590" s="72"/>
      <c r="BR590" s="72"/>
      <c r="BS590" s="72"/>
      <c r="BT590" s="72"/>
      <c r="BU590" s="72"/>
      <c r="BV590" s="72"/>
      <c r="BW590" s="72"/>
      <c r="BX590" s="72"/>
      <c r="BY590" s="72"/>
      <c r="BZ590" s="72"/>
      <c r="CA590" s="72"/>
      <c r="CB590" s="72"/>
      <c r="CC590" s="72"/>
      <c r="CD590" s="72"/>
      <c r="CE590" s="72"/>
      <c r="CF590" s="72"/>
      <c r="CG590" s="72"/>
      <c r="CH590" s="72"/>
      <c r="CI590" s="72"/>
      <c r="CJ590" s="72"/>
      <c r="CK590" s="72"/>
      <c r="CL590" s="72"/>
      <c r="CM590" s="72"/>
      <c r="CN590" s="72"/>
      <c r="CO590" s="72"/>
      <c r="CP590" s="72"/>
      <c r="CQ590" s="72"/>
      <c r="CR590" s="72"/>
      <c r="CS590" s="72"/>
    </row>
    <row r="591" spans="1:97" ht="12.75" customHeight="1">
      <c r="A591" s="46"/>
      <c r="B591" s="16" t="s">
        <v>915</v>
      </c>
      <c r="G591" s="1787" t="s">
        <v>2506</v>
      </c>
      <c r="H591" s="1788"/>
      <c r="I591" s="1788"/>
      <c r="J591" s="1788"/>
      <c r="K591" s="1788"/>
      <c r="L591" s="1788"/>
      <c r="M591" s="1788"/>
      <c r="N591" s="1788"/>
      <c r="O591" s="1788"/>
      <c r="P591" s="1788"/>
      <c r="Q591" s="1788"/>
      <c r="R591" s="1788"/>
      <c r="T591" s="46"/>
      <c r="U591" s="16" t="s">
        <v>915</v>
      </c>
      <c r="Z591" s="1797" t="s">
        <v>2506</v>
      </c>
      <c r="AA591" s="1796"/>
      <c r="AB591" s="1796"/>
      <c r="AC591" s="1796"/>
      <c r="AD591" s="1796"/>
      <c r="AE591" s="1796"/>
      <c r="AF591" s="1796"/>
      <c r="AG591" s="1796"/>
      <c r="AH591" s="1796"/>
      <c r="AI591" s="1796"/>
      <c r="AJ591" s="1796"/>
      <c r="AK591" s="1796"/>
      <c r="AM591" s="72"/>
      <c r="AN591" s="72"/>
      <c r="AO591" s="72"/>
      <c r="AP591" s="72"/>
      <c r="AQ591" s="72"/>
      <c r="AR591" s="72"/>
      <c r="AS591" s="72"/>
      <c r="AT591" s="72"/>
      <c r="AU591" s="72"/>
      <c r="AV591" s="72"/>
      <c r="AW591" s="72"/>
      <c r="AX591" s="72"/>
      <c r="AY591" s="72"/>
      <c r="AZ591" s="72"/>
      <c r="BA591" s="72"/>
      <c r="BB591" s="72"/>
      <c r="BC591" s="72"/>
      <c r="BD591" s="72"/>
      <c r="BE591" s="72"/>
      <c r="BF591" s="72"/>
      <c r="BG591" s="72"/>
      <c r="BH591" s="72"/>
      <c r="BI591" s="72"/>
      <c r="BJ591" s="72"/>
      <c r="BK591" s="72"/>
      <c r="BL591" s="72"/>
      <c r="BM591" s="72"/>
      <c r="BN591" s="72"/>
      <c r="BO591" s="72"/>
      <c r="BP591" s="72"/>
      <c r="BQ591" s="72"/>
      <c r="BR591" s="72"/>
      <c r="BS591" s="72"/>
      <c r="BT591" s="72"/>
      <c r="BU591" s="72"/>
      <c r="BV591" s="72"/>
      <c r="BW591" s="72"/>
      <c r="BX591" s="72"/>
      <c r="BY591" s="72"/>
      <c r="BZ591" s="72"/>
      <c r="CA591" s="72"/>
      <c r="CB591" s="72"/>
      <c r="CC591" s="72"/>
      <c r="CD591" s="72"/>
      <c r="CE591" s="72"/>
      <c r="CF591" s="72"/>
      <c r="CG591" s="72"/>
      <c r="CH591" s="72"/>
      <c r="CI591" s="72"/>
      <c r="CJ591" s="72"/>
      <c r="CK591" s="72"/>
      <c r="CL591" s="72"/>
      <c r="CM591" s="72"/>
      <c r="CN591" s="72"/>
      <c r="CO591" s="72"/>
      <c r="CP591" s="72"/>
      <c r="CQ591" s="72"/>
      <c r="CR591" s="72"/>
      <c r="CS591" s="72"/>
    </row>
    <row r="592" spans="1:97" ht="13.2">
      <c r="A592" s="46"/>
      <c r="B592" s="16" t="s">
        <v>716</v>
      </c>
      <c r="G592" s="1789" t="s">
        <v>2510</v>
      </c>
      <c r="H592" s="1790"/>
      <c r="I592" s="1790"/>
      <c r="J592" s="1790"/>
      <c r="K592" s="1790"/>
      <c r="L592" s="1790"/>
      <c r="O592" s="149" t="s">
        <v>900</v>
      </c>
      <c r="P592" s="1785"/>
      <c r="Q592" s="1785"/>
      <c r="R592" s="1785"/>
      <c r="T592" s="46"/>
      <c r="U592" s="16" t="s">
        <v>716</v>
      </c>
      <c r="Z592" s="1789" t="s">
        <v>2510</v>
      </c>
      <c r="AA592" s="1790"/>
      <c r="AB592" s="1790"/>
      <c r="AC592" s="1790"/>
      <c r="AD592" s="1790"/>
      <c r="AE592" s="1790"/>
      <c r="AH592" s="149" t="s">
        <v>900</v>
      </c>
      <c r="AI592" s="1785"/>
      <c r="AJ592" s="1785"/>
      <c r="AK592" s="1785"/>
      <c r="AM592" s="72"/>
      <c r="AN592" s="72"/>
      <c r="AO592" s="72"/>
      <c r="AP592" s="72"/>
      <c r="AQ592" s="72"/>
      <c r="AR592" s="72"/>
      <c r="AS592" s="72"/>
      <c r="AT592" s="72"/>
      <c r="AU592" s="72"/>
      <c r="AV592" s="72"/>
      <c r="AW592" s="72"/>
      <c r="AX592" s="72"/>
      <c r="AY592" s="72"/>
      <c r="AZ592" s="72"/>
      <c r="BA592" s="72"/>
      <c r="BB592" s="72"/>
      <c r="BC592" s="72"/>
      <c r="BD592" s="72"/>
      <c r="BE592" s="72"/>
      <c r="BF592" s="72"/>
      <c r="BG592" s="72"/>
      <c r="BH592" s="72"/>
      <c r="BI592" s="72"/>
      <c r="BJ592" s="72"/>
      <c r="BK592" s="72"/>
      <c r="BL592" s="72"/>
      <c r="BM592" s="72"/>
      <c r="BN592" s="72"/>
      <c r="BO592" s="72"/>
      <c r="BP592" s="72"/>
      <c r="BQ592" s="72"/>
      <c r="BR592" s="72"/>
      <c r="BS592" s="72"/>
      <c r="BT592" s="72"/>
      <c r="BU592" s="72"/>
      <c r="BV592" s="72"/>
      <c r="BW592" s="72"/>
      <c r="BX592" s="72"/>
      <c r="BY592" s="72"/>
      <c r="BZ592" s="72"/>
      <c r="CA592" s="72"/>
      <c r="CB592" s="72"/>
      <c r="CC592" s="72"/>
      <c r="CD592" s="72"/>
      <c r="CE592" s="72"/>
      <c r="CF592" s="72"/>
      <c r="CG592" s="72"/>
      <c r="CH592" s="72"/>
      <c r="CI592" s="72"/>
      <c r="CJ592" s="72"/>
      <c r="CK592" s="72"/>
      <c r="CL592" s="72"/>
      <c r="CM592" s="72"/>
      <c r="CN592" s="72"/>
      <c r="CO592" s="72"/>
      <c r="CP592" s="72"/>
      <c r="CQ592" s="72"/>
      <c r="CR592" s="72"/>
      <c r="CS592" s="72"/>
    </row>
    <row r="593" spans="1:126" ht="13.2">
      <c r="A593" s="46"/>
      <c r="B593" s="16" t="s">
        <v>916</v>
      </c>
      <c r="H593" s="1787" t="s">
        <v>2427</v>
      </c>
      <c r="I593" s="1788"/>
      <c r="J593" s="1788"/>
      <c r="K593" s="1788"/>
      <c r="L593" s="1788"/>
      <c r="M593" s="1788"/>
      <c r="N593" s="1788"/>
      <c r="O593" s="1788"/>
      <c r="P593" s="1788"/>
      <c r="Q593" s="1788"/>
      <c r="R593" s="1788"/>
      <c r="T593" s="46"/>
      <c r="U593" s="16" t="s">
        <v>916</v>
      </c>
      <c r="AA593" s="1787" t="s">
        <v>2429</v>
      </c>
      <c r="AB593" s="1788"/>
      <c r="AC593" s="1788"/>
      <c r="AD593" s="1788"/>
      <c r="AE593" s="1788"/>
      <c r="AF593" s="1788"/>
      <c r="AG593" s="1788"/>
      <c r="AH593" s="1788"/>
      <c r="AI593" s="1788"/>
      <c r="AJ593" s="1788"/>
      <c r="AK593" s="1788"/>
      <c r="AM593" s="72"/>
      <c r="AN593" s="72"/>
      <c r="AO593" s="72"/>
      <c r="AP593" s="72"/>
      <c r="AQ593" s="72"/>
      <c r="AR593" s="72"/>
      <c r="AS593" s="72"/>
      <c r="AT593" s="72"/>
      <c r="AU593" s="72"/>
      <c r="AV593" s="72"/>
      <c r="AW593" s="72"/>
      <c r="AX593" s="72"/>
      <c r="AY593" s="72"/>
      <c r="AZ593" s="72"/>
      <c r="BA593" s="72"/>
      <c r="BB593" s="72"/>
      <c r="BC593" s="72"/>
      <c r="BD593" s="72"/>
      <c r="BE593" s="72"/>
      <c r="BF593" s="72"/>
      <c r="BG593" s="72"/>
      <c r="BH593" s="72"/>
      <c r="BI593" s="72"/>
      <c r="BJ593" s="72"/>
      <c r="BK593" s="72"/>
      <c r="BL593" s="72"/>
      <c r="BM593" s="72"/>
      <c r="BN593" s="72"/>
      <c r="BO593" s="72"/>
      <c r="BP593" s="72"/>
      <c r="BQ593" s="72"/>
      <c r="BR593" s="72"/>
      <c r="BS593" s="72"/>
      <c r="BT593" s="72"/>
      <c r="BU593" s="72"/>
      <c r="BV593" s="72"/>
      <c r="BW593" s="72"/>
      <c r="BX593" s="72"/>
      <c r="BY593" s="72"/>
      <c r="BZ593" s="72"/>
      <c r="CA593" s="72"/>
      <c r="CB593" s="72"/>
      <c r="CC593" s="72"/>
      <c r="CD593" s="72"/>
      <c r="CE593" s="72"/>
      <c r="CF593" s="72"/>
      <c r="CG593" s="72"/>
      <c r="CH593" s="72"/>
      <c r="CI593" s="72"/>
      <c r="CJ593" s="72"/>
      <c r="CK593" s="72"/>
      <c r="CL593" s="72"/>
      <c r="CM593" s="72"/>
      <c r="CN593" s="72"/>
      <c r="CO593" s="72"/>
      <c r="CP593" s="72"/>
      <c r="CQ593" s="72"/>
      <c r="CR593" s="72"/>
      <c r="CS593" s="72"/>
    </row>
    <row r="594" spans="1:126" ht="13.2">
      <c r="A594" s="46"/>
      <c r="B594" s="16" t="s">
        <v>918</v>
      </c>
      <c r="N594" s="1757" t="s">
        <v>119</v>
      </c>
      <c r="O594" s="1757"/>
      <c r="T594" s="46"/>
      <c r="U594" s="16" t="s">
        <v>918</v>
      </c>
      <c r="AG594" s="1757" t="s">
        <v>119</v>
      </c>
      <c r="AH594" s="1757"/>
      <c r="AM594" s="72"/>
      <c r="AN594" s="72"/>
      <c r="AO594" s="72"/>
      <c r="AP594" s="72"/>
      <c r="AQ594" s="72"/>
      <c r="AR594" s="72"/>
      <c r="AS594" s="72"/>
      <c r="AT594" s="72"/>
      <c r="AU594" s="72"/>
      <c r="AV594" s="72"/>
      <c r="AW594" s="72"/>
      <c r="AX594" s="72"/>
      <c r="AY594" s="72"/>
      <c r="AZ594" s="72"/>
      <c r="BA594" s="72"/>
      <c r="BB594" s="72"/>
      <c r="BC594" s="72"/>
      <c r="BD594" s="72"/>
      <c r="BE594" s="72"/>
      <c r="BF594" s="72"/>
      <c r="BG594" s="72"/>
      <c r="BH594" s="72"/>
      <c r="BI594" s="72"/>
      <c r="BJ594" s="72"/>
      <c r="BK594" s="72"/>
      <c r="BL594" s="72"/>
      <c r="BM594" s="72"/>
      <c r="BN594" s="72"/>
      <c r="BO594" s="72"/>
      <c r="BP594" s="72"/>
      <c r="BQ594" s="72"/>
      <c r="BR594" s="72"/>
      <c r="BS594" s="72"/>
      <c r="BT594" s="72"/>
      <c r="BU594" s="72"/>
      <c r="BV594" s="72"/>
      <c r="BW594" s="72"/>
      <c r="BX594" s="72"/>
      <c r="BY594" s="72"/>
      <c r="BZ594" s="72"/>
      <c r="CA594" s="72"/>
      <c r="CB594" s="72"/>
      <c r="CC594" s="72"/>
      <c r="CD594" s="72"/>
      <c r="CE594" s="72"/>
      <c r="CF594" s="72"/>
      <c r="CG594" s="72"/>
      <c r="CH594" s="72"/>
      <c r="CI594" s="72"/>
      <c r="CJ594" s="72"/>
      <c r="CK594" s="72"/>
      <c r="CL594" s="72"/>
      <c r="CM594" s="72"/>
      <c r="CN594" s="72"/>
      <c r="CO594" s="72"/>
      <c r="CP594" s="72"/>
      <c r="CQ594" s="72"/>
      <c r="CR594" s="72"/>
      <c r="CS594" s="72"/>
    </row>
    <row r="595" spans="1:126" ht="13.2">
      <c r="AM595" s="72"/>
      <c r="AN595" s="72"/>
      <c r="AO595" s="72"/>
      <c r="AP595" s="72"/>
      <c r="AQ595" s="72"/>
      <c r="AR595" s="72"/>
      <c r="AS595" s="72"/>
      <c r="AT595" s="72"/>
      <c r="AU595" s="72"/>
      <c r="AV595" s="72"/>
      <c r="AW595" s="72"/>
      <c r="AX595" s="72"/>
      <c r="AY595" s="72"/>
      <c r="AZ595" s="72"/>
      <c r="BA595" s="72"/>
      <c r="BB595" s="72"/>
      <c r="BC595" s="72"/>
      <c r="BD595" s="72"/>
      <c r="BE595" s="72"/>
      <c r="BF595" s="72"/>
      <c r="BG595" s="72"/>
      <c r="BH595" s="72"/>
      <c r="BI595" s="72"/>
      <c r="BJ595" s="72"/>
      <c r="BK595" s="72"/>
      <c r="BL595" s="72"/>
      <c r="BM595" s="72"/>
      <c r="BN595" s="72"/>
      <c r="BO595" s="72"/>
      <c r="BP595" s="72"/>
      <c r="BQ595" s="72"/>
      <c r="BR595" s="72"/>
      <c r="BS595" s="72"/>
      <c r="BT595" s="72"/>
      <c r="BU595" s="72"/>
      <c r="BV595" s="72"/>
      <c r="BW595" s="72"/>
      <c r="BX595" s="72"/>
      <c r="BY595" s="72"/>
      <c r="BZ595" s="72"/>
      <c r="CA595" s="72"/>
      <c r="CB595" s="72"/>
      <c r="CC595" s="72"/>
      <c r="CD595" s="72"/>
      <c r="CE595" s="72"/>
      <c r="CF595" s="72"/>
      <c r="CG595" s="72"/>
      <c r="CH595" s="72"/>
      <c r="CI595" s="72"/>
      <c r="CJ595" s="72"/>
      <c r="CK595" s="72"/>
      <c r="CL595" s="72"/>
      <c r="CM595" s="72"/>
      <c r="CN595" s="72"/>
      <c r="CO595" s="72"/>
      <c r="CP595" s="72"/>
      <c r="CQ595" s="72"/>
      <c r="CR595" s="72"/>
      <c r="CS595" s="72"/>
    </row>
    <row r="596" spans="1:126" ht="12.75" customHeight="1">
      <c r="A596" s="101" t="s">
        <v>810</v>
      </c>
      <c r="B596" s="16" t="s">
        <v>93</v>
      </c>
      <c r="G596" s="1791" t="str">
        <f>C564</f>
        <v>Capital Contributions-Limit Partners</v>
      </c>
      <c r="H596" s="1791"/>
      <c r="I596" s="1791"/>
      <c r="J596" s="1791"/>
      <c r="K596" s="1791"/>
      <c r="L596" s="1791"/>
      <c r="M596" s="1791"/>
      <c r="N596" s="1791"/>
      <c r="O596" s="1791"/>
      <c r="P596" s="1791"/>
      <c r="Q596" s="1791"/>
      <c r="R596" s="1791"/>
      <c r="T596" s="101" t="s">
        <v>811</v>
      </c>
      <c r="U596" s="16" t="s">
        <v>93</v>
      </c>
      <c r="Z596" s="1791">
        <f>C565</f>
        <v>0</v>
      </c>
      <c r="AA596" s="1791"/>
      <c r="AB596" s="1791"/>
      <c r="AC596" s="1791"/>
      <c r="AD596" s="1791"/>
      <c r="AE596" s="1791"/>
      <c r="AF596" s="1791"/>
      <c r="AG596" s="1791"/>
      <c r="AH596" s="1791"/>
      <c r="AI596" s="1791"/>
      <c r="AJ596" s="1791"/>
      <c r="AK596" s="1791"/>
      <c r="AM596" s="72"/>
      <c r="AN596" s="72"/>
      <c r="AO596" s="72"/>
      <c r="AP596" s="72"/>
      <c r="AQ596" s="72"/>
      <c r="AR596" s="72"/>
      <c r="AS596" s="72"/>
      <c r="AT596" s="72"/>
      <c r="AU596" s="72"/>
      <c r="AV596" s="72"/>
      <c r="AW596" s="72"/>
      <c r="AX596" s="72"/>
      <c r="AY596" s="72"/>
      <c r="AZ596" s="72"/>
      <c r="BA596" s="72"/>
      <c r="BB596" s="72"/>
      <c r="BC596" s="72"/>
      <c r="BD596" s="72"/>
      <c r="BE596" s="72"/>
      <c r="BF596" s="72"/>
      <c r="BG596" s="72"/>
      <c r="BH596" s="72"/>
      <c r="BI596" s="72"/>
      <c r="BJ596" s="72"/>
      <c r="BK596" s="72"/>
      <c r="BL596" s="72"/>
      <c r="BM596" s="72"/>
      <c r="BN596" s="72"/>
      <c r="BO596" s="72"/>
      <c r="BP596" s="72"/>
      <c r="BQ596" s="72"/>
      <c r="BR596" s="72"/>
      <c r="BS596" s="72"/>
      <c r="BT596" s="72"/>
      <c r="BU596" s="72"/>
      <c r="BV596" s="72"/>
      <c r="BW596" s="72"/>
      <c r="BX596" s="72"/>
      <c r="BY596" s="72"/>
      <c r="BZ596" s="72"/>
      <c r="CA596" s="72"/>
      <c r="CB596" s="72"/>
      <c r="CC596" s="72"/>
      <c r="CD596" s="72"/>
      <c r="CE596" s="72"/>
      <c r="CF596" s="72"/>
      <c r="CG596" s="72"/>
      <c r="CH596" s="72"/>
      <c r="CI596" s="72"/>
      <c r="CJ596" s="72"/>
      <c r="CK596" s="72"/>
      <c r="CL596" s="72"/>
      <c r="CM596" s="72"/>
      <c r="CN596" s="72"/>
      <c r="CO596" s="72"/>
      <c r="CP596" s="72"/>
      <c r="CQ596" s="72"/>
      <c r="CR596" s="72"/>
      <c r="CS596" s="72"/>
    </row>
    <row r="597" spans="1:126" ht="13.2">
      <c r="A597" s="46"/>
      <c r="B597" s="16" t="s">
        <v>416</v>
      </c>
      <c r="G597" s="1787" t="s">
        <v>2379</v>
      </c>
      <c r="H597" s="1788"/>
      <c r="I597" s="1788"/>
      <c r="J597" s="1788"/>
      <c r="K597" s="1788"/>
      <c r="L597" s="1788"/>
      <c r="M597" s="1788"/>
      <c r="N597" s="1788"/>
      <c r="O597" s="1788"/>
      <c r="P597" s="1788"/>
      <c r="Q597" s="1788"/>
      <c r="R597" s="1788"/>
      <c r="T597" s="46"/>
      <c r="U597" s="16" t="s">
        <v>416</v>
      </c>
      <c r="Z597" s="1788"/>
      <c r="AA597" s="1788"/>
      <c r="AB597" s="1788"/>
      <c r="AC597" s="1788"/>
      <c r="AD597" s="1788"/>
      <c r="AE597" s="1788"/>
      <c r="AF597" s="1788"/>
      <c r="AG597" s="1788"/>
      <c r="AH597" s="1788"/>
      <c r="AI597" s="1788"/>
      <c r="AJ597" s="1788"/>
      <c r="AK597" s="1788"/>
      <c r="AN597" s="72"/>
      <c r="AO597" s="72"/>
      <c r="AP597" s="72"/>
      <c r="AQ597" s="72"/>
      <c r="AR597" s="72"/>
      <c r="AS597" s="72"/>
      <c r="AT597" s="72"/>
      <c r="AU597" s="72"/>
      <c r="AV597" s="72"/>
      <c r="AW597" s="72"/>
      <c r="AX597" s="72"/>
      <c r="AY597" s="72"/>
      <c r="AZ597" s="72"/>
      <c r="BA597" s="72"/>
      <c r="BB597" s="72"/>
      <c r="BC597" s="72"/>
      <c r="BD597" s="72"/>
      <c r="BE597" s="72"/>
      <c r="BF597" s="72"/>
      <c r="BG597" s="72"/>
      <c r="BH597" s="72"/>
      <c r="BI597" s="72"/>
      <c r="BJ597" s="72"/>
      <c r="BK597" s="72"/>
      <c r="BL597" s="72"/>
      <c r="BM597" s="72"/>
      <c r="BN597" s="72"/>
      <c r="BO597" s="72"/>
      <c r="BP597" s="72"/>
      <c r="BQ597" s="72"/>
      <c r="BR597" s="72"/>
      <c r="BS597" s="72"/>
      <c r="BT597" s="72"/>
      <c r="BU597" s="72"/>
      <c r="BV597" s="72"/>
      <c r="BW597" s="72"/>
      <c r="BX597" s="72"/>
      <c r="BY597" s="72"/>
      <c r="BZ597" s="72"/>
      <c r="CA597" s="72"/>
      <c r="CB597" s="72"/>
      <c r="CC597" s="72"/>
      <c r="CD597" s="72"/>
      <c r="CE597" s="72"/>
      <c r="CF597" s="72"/>
      <c r="CG597" s="72"/>
      <c r="CH597" s="72"/>
      <c r="CI597" s="72"/>
      <c r="CJ597" s="72"/>
      <c r="CK597" s="72"/>
      <c r="CL597" s="72"/>
      <c r="CM597" s="72"/>
      <c r="CN597" s="72"/>
      <c r="CO597" s="72"/>
      <c r="CP597" s="72"/>
      <c r="CQ597" s="72"/>
      <c r="CR597" s="72"/>
      <c r="CS597" s="72"/>
    </row>
    <row r="598" spans="1:126" s="8" customFormat="1" ht="12.75" customHeight="1">
      <c r="A598" s="46"/>
      <c r="B598" s="16" t="s">
        <v>479</v>
      </c>
      <c r="C598" s="16"/>
      <c r="D598" s="16"/>
      <c r="E598" s="16"/>
      <c r="F598" s="16"/>
      <c r="G598" s="1787" t="s">
        <v>2380</v>
      </c>
      <c r="H598" s="1788"/>
      <c r="I598" s="1788"/>
      <c r="J598" s="1788"/>
      <c r="K598" s="1788"/>
      <c r="L598" s="1788"/>
      <c r="M598" s="1788"/>
      <c r="N598" s="1788"/>
      <c r="O598" s="1788"/>
      <c r="P598" s="1788"/>
      <c r="Q598" s="1788"/>
      <c r="R598" s="1788"/>
      <c r="S598" s="16"/>
      <c r="T598" s="46"/>
      <c r="U598" s="16" t="s">
        <v>479</v>
      </c>
      <c r="V598" s="16"/>
      <c r="W598" s="16"/>
      <c r="X598" s="16"/>
      <c r="Y598" s="16"/>
      <c r="Z598" s="1796"/>
      <c r="AA598" s="1796"/>
      <c r="AB598" s="1796"/>
      <c r="AC598" s="1796"/>
      <c r="AD598" s="1796"/>
      <c r="AE598" s="1796"/>
      <c r="AF598" s="1796"/>
      <c r="AG598" s="1796"/>
      <c r="AH598" s="1796"/>
      <c r="AI598" s="1796"/>
      <c r="AJ598" s="1796"/>
      <c r="AK598" s="1796"/>
      <c r="AL598" s="16"/>
      <c r="AN598" s="72"/>
      <c r="AO598" s="72"/>
      <c r="AP598" s="72"/>
      <c r="AQ598" s="72"/>
      <c r="AR598" s="72"/>
      <c r="AS598" s="72"/>
      <c r="AT598" s="72"/>
      <c r="AU598" s="72"/>
      <c r="AV598" s="72"/>
      <c r="AW598" s="72"/>
      <c r="AX598" s="72"/>
      <c r="AY598" s="72"/>
      <c r="AZ598" s="72"/>
      <c r="BA598" s="72"/>
      <c r="BB598" s="72"/>
      <c r="BC598" s="72"/>
      <c r="BD598" s="72"/>
      <c r="BE598" s="72"/>
      <c r="BF598" s="72"/>
      <c r="BG598" s="72"/>
      <c r="BH598" s="72"/>
      <c r="BI598" s="72"/>
      <c r="BN598" s="72" t="s">
        <v>947</v>
      </c>
      <c r="BO598" s="72"/>
      <c r="BP598" s="72"/>
      <c r="BQ598" s="72"/>
      <c r="BR598" s="72"/>
      <c r="BS598" s="72"/>
      <c r="BT598" s="72"/>
      <c r="BU598" s="72"/>
      <c r="BV598" s="72"/>
      <c r="BW598" s="72"/>
      <c r="BX598" s="72"/>
      <c r="BY598" s="72"/>
      <c r="BZ598" s="72"/>
      <c r="CA598" s="72"/>
      <c r="CB598" s="72"/>
      <c r="CC598" s="72"/>
      <c r="CD598" s="72"/>
      <c r="CE598" s="72"/>
      <c r="CF598" s="72"/>
      <c r="CG598" s="72"/>
      <c r="CH598" s="72"/>
      <c r="CI598" s="72"/>
      <c r="CJ598" s="72"/>
      <c r="CK598" s="72"/>
      <c r="CL598" s="72"/>
      <c r="CM598" s="72"/>
      <c r="CN598" s="72"/>
      <c r="CO598" s="72"/>
      <c r="CP598" s="72"/>
      <c r="CQ598" s="72"/>
      <c r="CR598" s="72"/>
      <c r="CS598" s="72"/>
    </row>
    <row r="599" spans="1:126" s="8" customFormat="1" ht="13.2">
      <c r="A599" s="46"/>
      <c r="B599" s="16" t="s">
        <v>915</v>
      </c>
      <c r="C599" s="16"/>
      <c r="D599" s="16"/>
      <c r="E599" s="16"/>
      <c r="F599" s="16"/>
      <c r="G599" s="1787" t="s">
        <v>2381</v>
      </c>
      <c r="H599" s="1788"/>
      <c r="I599" s="1788"/>
      <c r="J599" s="1788"/>
      <c r="K599" s="1788"/>
      <c r="L599" s="1788"/>
      <c r="M599" s="1788"/>
      <c r="N599" s="1788"/>
      <c r="O599" s="1788"/>
      <c r="P599" s="1788"/>
      <c r="Q599" s="1788"/>
      <c r="R599" s="1788"/>
      <c r="S599" s="16"/>
      <c r="T599" s="46"/>
      <c r="U599" s="16" t="s">
        <v>915</v>
      </c>
      <c r="V599" s="16"/>
      <c r="W599" s="16"/>
      <c r="X599" s="16"/>
      <c r="Y599" s="16"/>
      <c r="Z599" s="1796"/>
      <c r="AA599" s="1796"/>
      <c r="AB599" s="1796"/>
      <c r="AC599" s="1796"/>
      <c r="AD599" s="1796"/>
      <c r="AE599" s="1796"/>
      <c r="AF599" s="1796"/>
      <c r="AG599" s="1796"/>
      <c r="AH599" s="1796"/>
      <c r="AI599" s="1796"/>
      <c r="AJ599" s="1796"/>
      <c r="AK599" s="1796"/>
      <c r="AL599" s="16"/>
      <c r="AM599" s="72"/>
      <c r="AN599" s="72"/>
      <c r="AO599" s="72"/>
      <c r="AP599" s="72"/>
      <c r="AQ599" s="72"/>
      <c r="AR599" s="72"/>
      <c r="AS599" s="72"/>
      <c r="AT599" s="72"/>
      <c r="AU599" s="72"/>
      <c r="AV599" s="72"/>
      <c r="AW599" s="72"/>
      <c r="AX599" s="72"/>
      <c r="AY599" s="72"/>
      <c r="AZ599" s="72"/>
      <c r="BN599" s="1443" t="s">
        <v>468</v>
      </c>
      <c r="BO599" s="1443"/>
      <c r="BP599" s="1443"/>
      <c r="BQ599" s="1444"/>
      <c r="BR599" s="1445"/>
      <c r="BS599" s="1443" t="s">
        <v>491</v>
      </c>
      <c r="BT599" s="1443"/>
      <c r="BU599" s="1443"/>
      <c r="BV599" s="1444"/>
      <c r="BW599" s="1445"/>
      <c r="BX599" s="1445" t="s">
        <v>853</v>
      </c>
      <c r="BY599" s="1443"/>
      <c r="BZ599" s="1443"/>
      <c r="CA599" s="1443"/>
      <c r="CB599" s="1443"/>
      <c r="CC599" s="1443" t="s">
        <v>854</v>
      </c>
      <c r="CD599" s="1443"/>
      <c r="CE599" s="1443"/>
      <c r="CF599" s="1443"/>
      <c r="CG599" s="1443"/>
      <c r="CH599" s="1443" t="s">
        <v>867</v>
      </c>
      <c r="CI599" s="1443"/>
      <c r="CJ599" s="1443"/>
      <c r="CK599" s="1443"/>
      <c r="CL599" s="1443"/>
      <c r="CM599" s="1443" t="s">
        <v>383</v>
      </c>
      <c r="CN599" s="1443"/>
      <c r="CO599" s="1443"/>
      <c r="CP599" s="1444"/>
      <c r="CQ599" s="1445"/>
      <c r="CS599" s="72" t="s">
        <v>983</v>
      </c>
      <c r="CT599" s="72"/>
      <c r="CU599" s="72"/>
      <c r="CV599" s="72"/>
      <c r="CW599" s="72"/>
      <c r="CX599" s="72"/>
      <c r="CY599" s="72"/>
      <c r="CZ599" s="72"/>
      <c r="DA599" s="72"/>
      <c r="DB599" s="72"/>
      <c r="DC599" s="72"/>
      <c r="DD599" s="72"/>
      <c r="DE599" s="72"/>
      <c r="DF599" s="72"/>
      <c r="DG599" s="72"/>
      <c r="DH599" s="72"/>
      <c r="DI599" s="72"/>
      <c r="DJ599" s="72"/>
      <c r="DK599" s="72"/>
      <c r="DL599" s="72"/>
      <c r="DM599" s="72"/>
      <c r="DN599" s="72"/>
      <c r="DO599" s="72"/>
      <c r="DP599" s="72"/>
      <c r="DQ599" s="72"/>
      <c r="DR599" s="72"/>
      <c r="DS599" s="72"/>
      <c r="DT599" s="72"/>
      <c r="DU599" s="72"/>
      <c r="DV599" s="72"/>
    </row>
    <row r="600" spans="1:126" s="8" customFormat="1" ht="13.2">
      <c r="A600" s="46"/>
      <c r="B600" s="16" t="s">
        <v>716</v>
      </c>
      <c r="C600" s="16"/>
      <c r="D600" s="16"/>
      <c r="E600" s="16"/>
      <c r="F600" s="16"/>
      <c r="G600" s="1789" t="s">
        <v>2382</v>
      </c>
      <c r="H600" s="1790"/>
      <c r="I600" s="1790"/>
      <c r="J600" s="1790"/>
      <c r="K600" s="1790"/>
      <c r="L600" s="1790"/>
      <c r="M600" s="16"/>
      <c r="N600" s="16"/>
      <c r="O600" s="149" t="s">
        <v>900</v>
      </c>
      <c r="P600" s="1785"/>
      <c r="Q600" s="1785"/>
      <c r="R600" s="1785"/>
      <c r="S600" s="16"/>
      <c r="T600" s="46"/>
      <c r="U600" s="16" t="s">
        <v>716</v>
      </c>
      <c r="V600" s="16"/>
      <c r="W600" s="16"/>
      <c r="X600" s="16"/>
      <c r="Y600" s="16"/>
      <c r="Z600" s="1790"/>
      <c r="AA600" s="1790"/>
      <c r="AB600" s="1790"/>
      <c r="AC600" s="1790"/>
      <c r="AD600" s="1790"/>
      <c r="AE600" s="1790"/>
      <c r="AF600" s="16"/>
      <c r="AG600" s="16"/>
      <c r="AH600" s="149" t="s">
        <v>900</v>
      </c>
      <c r="AI600" s="1785"/>
      <c r="AJ600" s="1785"/>
      <c r="AK600" s="1785"/>
      <c r="AL600" s="16"/>
      <c r="AZ600" s="8" t="s">
        <v>490</v>
      </c>
      <c r="BA600" s="72"/>
      <c r="BB600" s="72"/>
      <c r="BC600" s="72"/>
      <c r="BD600" s="72"/>
      <c r="BE600" s="334" t="s">
        <v>392</v>
      </c>
      <c r="BF600" s="335"/>
      <c r="BG600" s="1833"/>
      <c r="BH600" s="1835"/>
      <c r="BI600" s="334" t="s">
        <v>393</v>
      </c>
      <c r="BJ600" s="335"/>
      <c r="BK600" s="1833"/>
      <c r="BL600" s="1835"/>
      <c r="BN600" s="1833">
        <f t="shared" ref="BN600:BN624" si="0">IF(B704="SRO/Studio",G704,0)</f>
        <v>15</v>
      </c>
      <c r="BO600" s="1834"/>
      <c r="BP600" s="1834"/>
      <c r="BQ600" s="1834"/>
      <c r="BR600" s="1842"/>
      <c r="BS600" s="1833">
        <f t="shared" ref="BS600:BS624" si="1">IF(B704="1 Bedroom",G704,0)</f>
        <v>0</v>
      </c>
      <c r="BT600" s="1834"/>
      <c r="BU600" s="1834"/>
      <c r="BV600" s="1834"/>
      <c r="BW600" s="1835"/>
      <c r="BX600" s="1833">
        <f t="shared" ref="BX600:BX624" si="2">IF(B704="2 Bedrooms",G704,0)</f>
        <v>0</v>
      </c>
      <c r="BY600" s="1834"/>
      <c r="BZ600" s="1834"/>
      <c r="CA600" s="1834"/>
      <c r="CB600" s="1835"/>
      <c r="CC600" s="1833">
        <f t="shared" ref="CC600:CC624" si="3">IF(B704="3 Bedrooms",G704,0)</f>
        <v>0</v>
      </c>
      <c r="CD600" s="1834"/>
      <c r="CE600" s="1834"/>
      <c r="CF600" s="1834"/>
      <c r="CG600" s="1835"/>
      <c r="CH600" s="1833">
        <f t="shared" ref="CH600:CH624" si="4">IF(B704="4 Bedrooms",G704,0)</f>
        <v>0</v>
      </c>
      <c r="CI600" s="1834"/>
      <c r="CJ600" s="1834"/>
      <c r="CK600" s="1834"/>
      <c r="CL600" s="1835"/>
      <c r="CM600" s="1843">
        <f t="shared" ref="CM600:CM624" si="5">IF(B704="5 Bedrooms",G704,0)</f>
        <v>0</v>
      </c>
      <c r="CN600" s="1844"/>
      <c r="CO600" s="1844"/>
      <c r="CP600" s="1844"/>
      <c r="CQ600" s="1842"/>
      <c r="CS600" s="1443" t="s">
        <v>468</v>
      </c>
      <c r="CT600" s="1443"/>
      <c r="CU600" s="1443"/>
      <c r="CV600" s="1443"/>
      <c r="CW600" s="1443"/>
      <c r="CX600" s="1443" t="s">
        <v>491</v>
      </c>
      <c r="CY600" s="1443"/>
      <c r="CZ600" s="1444"/>
      <c r="DA600" s="1446"/>
      <c r="DB600" s="1445"/>
      <c r="DC600" s="1443" t="s">
        <v>853</v>
      </c>
      <c r="DD600" s="1443"/>
      <c r="DE600" s="1443"/>
      <c r="DF600" s="1443"/>
      <c r="DG600" s="1443"/>
      <c r="DH600" s="1443" t="s">
        <v>854</v>
      </c>
      <c r="DI600" s="1443"/>
      <c r="DJ600" s="1443"/>
      <c r="DK600" s="1443"/>
      <c r="DL600" s="1443"/>
      <c r="DM600" s="1443" t="s">
        <v>867</v>
      </c>
      <c r="DN600" s="1443"/>
      <c r="DO600" s="1443"/>
      <c r="DP600" s="1443"/>
      <c r="DQ600" s="1443"/>
      <c r="DR600" s="1443" t="s">
        <v>383</v>
      </c>
      <c r="DS600" s="1443"/>
      <c r="DT600" s="1443"/>
      <c r="DU600" s="1443"/>
      <c r="DV600" s="1443"/>
    </row>
    <row r="601" spans="1:126" s="8" customFormat="1" ht="13.2">
      <c r="A601" s="46"/>
      <c r="B601" s="16" t="s">
        <v>916</v>
      </c>
      <c r="C601" s="16"/>
      <c r="D601" s="16"/>
      <c r="E601" s="16"/>
      <c r="F601" s="16"/>
      <c r="G601" s="16"/>
      <c r="H601" s="1787" t="s">
        <v>2431</v>
      </c>
      <c r="I601" s="1788"/>
      <c r="J601" s="1788"/>
      <c r="K601" s="1788"/>
      <c r="L601" s="1788"/>
      <c r="M601" s="1788"/>
      <c r="N601" s="1788"/>
      <c r="O601" s="1788"/>
      <c r="P601" s="1788"/>
      <c r="Q601" s="1788"/>
      <c r="R601" s="1788"/>
      <c r="S601" s="16"/>
      <c r="T601" s="46"/>
      <c r="U601" s="16" t="s">
        <v>916</v>
      </c>
      <c r="V601" s="16"/>
      <c r="W601" s="16"/>
      <c r="X601" s="16"/>
      <c r="Y601" s="16"/>
      <c r="Z601" s="16"/>
      <c r="AA601" s="1788"/>
      <c r="AB601" s="1788"/>
      <c r="AC601" s="1788"/>
      <c r="AD601" s="1788"/>
      <c r="AE601" s="1788"/>
      <c r="AF601" s="1788"/>
      <c r="AG601" s="1788"/>
      <c r="AH601" s="1788"/>
      <c r="AI601" s="1788"/>
      <c r="AJ601" s="1788"/>
      <c r="AK601" s="1788"/>
      <c r="AL601" s="16"/>
      <c r="AZ601" s="8" t="s">
        <v>491</v>
      </c>
      <c r="BA601" s="72"/>
      <c r="BB601" s="72"/>
      <c r="BC601" s="72"/>
      <c r="BD601" s="72"/>
      <c r="BE601" s="1839">
        <f>IF(AND(AH704&lt;=0.5,AH704&gt;=0.36),1,0)</f>
        <v>0</v>
      </c>
      <c r="BF601" s="1841"/>
      <c r="BG601" s="1833">
        <f t="shared" ref="BG601:BG625" si="6">IF(BE601=1,G704,0)</f>
        <v>0</v>
      </c>
      <c r="BH601" s="1835"/>
      <c r="BI601" s="1839">
        <f>IF(AND(AH704&lt;=0.35,AH704&gt;0),1,0)</f>
        <v>1</v>
      </c>
      <c r="BJ601" s="1841"/>
      <c r="BK601" s="1833">
        <f t="shared" ref="BK601:BK625" si="7">IF(BI601=1,G704,0)</f>
        <v>15</v>
      </c>
      <c r="BL601" s="1835"/>
      <c r="BN601" s="1833">
        <f t="shared" si="0"/>
        <v>0</v>
      </c>
      <c r="BO601" s="1834"/>
      <c r="BP601" s="1834"/>
      <c r="BQ601" s="1834"/>
      <c r="BR601" s="1842"/>
      <c r="BS601" s="1833">
        <f t="shared" si="1"/>
        <v>5</v>
      </c>
      <c r="BT601" s="1834"/>
      <c r="BU601" s="1834"/>
      <c r="BV601" s="1834"/>
      <c r="BW601" s="1835"/>
      <c r="BX601" s="1833">
        <f t="shared" si="2"/>
        <v>0</v>
      </c>
      <c r="BY601" s="1834"/>
      <c r="BZ601" s="1834"/>
      <c r="CA601" s="1834"/>
      <c r="CB601" s="1835"/>
      <c r="CC601" s="1833">
        <f t="shared" si="3"/>
        <v>0</v>
      </c>
      <c r="CD601" s="1834"/>
      <c r="CE601" s="1834"/>
      <c r="CF601" s="1834"/>
      <c r="CG601" s="1835"/>
      <c r="CH601" s="1833">
        <f t="shared" si="4"/>
        <v>0</v>
      </c>
      <c r="CI601" s="1834"/>
      <c r="CJ601" s="1834"/>
      <c r="CK601" s="1834"/>
      <c r="CL601" s="1835"/>
      <c r="CM601" s="1833">
        <f t="shared" si="5"/>
        <v>0</v>
      </c>
      <c r="CN601" s="1834"/>
      <c r="CO601" s="1834"/>
      <c r="CP601" s="1834"/>
      <c r="CQ601" s="1835"/>
      <c r="CS601" s="1845">
        <f>IF(AND(B704="SRO/Studio",AH704&lt;=0.3),G704,0)</f>
        <v>15</v>
      </c>
      <c r="CT601" s="1846"/>
      <c r="CU601" s="1846"/>
      <c r="CV601" s="1846"/>
      <c r="CW601" s="1847"/>
      <c r="CX601" s="1845">
        <f>IF(AND(B704="1 Bedroom",AH704&lt;=0.3),G704,0)</f>
        <v>0</v>
      </c>
      <c r="CY601" s="1846"/>
      <c r="CZ601" s="1846"/>
      <c r="DA601" s="1846"/>
      <c r="DB601" s="1847"/>
      <c r="DC601" s="1845">
        <f>IF(AND(B704="2 Bedrooms",AH704&lt;=0.3),G704,0)</f>
        <v>0</v>
      </c>
      <c r="DD601" s="1846"/>
      <c r="DE601" s="1846"/>
      <c r="DF601" s="1846"/>
      <c r="DG601" s="1847"/>
      <c r="DH601" s="1845">
        <f>IF(AND(B704="3 Bedrooms",AH704&lt;=0.3),G704,0)</f>
        <v>0</v>
      </c>
      <c r="DI601" s="1846"/>
      <c r="DJ601" s="1846"/>
      <c r="DK601" s="1846"/>
      <c r="DL601" s="1847"/>
      <c r="DM601" s="1845">
        <f>IF(AND(B704="4 Bedrooms",AH704&lt;=0.3),G704,0)</f>
        <v>0</v>
      </c>
      <c r="DN601" s="1846"/>
      <c r="DO601" s="1846"/>
      <c r="DP601" s="1846"/>
      <c r="DQ601" s="1847"/>
      <c r="DR601" s="1845">
        <f>IF(AND(B704="5 Bedrooms",AH704&lt;=0.3),G704,0)</f>
        <v>0</v>
      </c>
      <c r="DS601" s="1846"/>
      <c r="DT601" s="1846"/>
      <c r="DU601" s="1846"/>
      <c r="DV601" s="1847"/>
    </row>
    <row r="602" spans="1:126" s="8" customFormat="1" ht="13.2">
      <c r="A602" s="46"/>
      <c r="B602" s="16" t="s">
        <v>918</v>
      </c>
      <c r="C602" s="16"/>
      <c r="D602" s="16"/>
      <c r="E602" s="16"/>
      <c r="F602" s="16"/>
      <c r="G602" s="16"/>
      <c r="H602" s="16"/>
      <c r="I602" s="16"/>
      <c r="J602" s="16"/>
      <c r="K602" s="16"/>
      <c r="L602" s="16"/>
      <c r="M602" s="16"/>
      <c r="N602" s="1757" t="s">
        <v>119</v>
      </c>
      <c r="O602" s="1757"/>
      <c r="P602" s="16"/>
      <c r="Q602" s="16"/>
      <c r="R602" s="16"/>
      <c r="S602" s="16"/>
      <c r="T602" s="46"/>
      <c r="U602" s="16" t="s">
        <v>918</v>
      </c>
      <c r="V602" s="16"/>
      <c r="W602" s="16"/>
      <c r="X602" s="16"/>
      <c r="Y602" s="16"/>
      <c r="Z602" s="16"/>
      <c r="AA602" s="16"/>
      <c r="AB602" s="16"/>
      <c r="AC602" s="16"/>
      <c r="AD602" s="16"/>
      <c r="AE602" s="16"/>
      <c r="AF602" s="16"/>
      <c r="AG602" s="1757" t="s">
        <v>531</v>
      </c>
      <c r="AH602" s="1757"/>
      <c r="AI602" s="16"/>
      <c r="AJ602" s="16"/>
      <c r="AK602" s="16"/>
      <c r="AL602" s="16"/>
      <c r="AZ602" s="8" t="s">
        <v>853</v>
      </c>
      <c r="BA602" s="72"/>
      <c r="BB602" s="72"/>
      <c r="BC602" s="72"/>
      <c r="BD602" s="72"/>
      <c r="BE602" s="1839">
        <f t="shared" ref="BE602:BE625" si="8">IF(AND(AH705&lt;=0.5,AH705&gt;=0.36),1,0)</f>
        <v>0</v>
      </c>
      <c r="BF602" s="1841"/>
      <c r="BG602" s="1833">
        <f t="shared" si="6"/>
        <v>0</v>
      </c>
      <c r="BH602" s="1835"/>
      <c r="BI602" s="1839">
        <f t="shared" ref="BI602:BI625" si="9">IF(AND(AH705&lt;=0.35,AH705&gt;0),1,0)</f>
        <v>1</v>
      </c>
      <c r="BJ602" s="1841"/>
      <c r="BK602" s="1833">
        <f t="shared" si="7"/>
        <v>5</v>
      </c>
      <c r="BL602" s="1835"/>
      <c r="BN602" s="1833">
        <f t="shared" si="0"/>
        <v>0</v>
      </c>
      <c r="BO602" s="1834"/>
      <c r="BP602" s="1834"/>
      <c r="BQ602" s="1834"/>
      <c r="BR602" s="1842"/>
      <c r="BS602" s="1833">
        <f t="shared" si="1"/>
        <v>7</v>
      </c>
      <c r="BT602" s="1834"/>
      <c r="BU602" s="1834"/>
      <c r="BV602" s="1834"/>
      <c r="BW602" s="1835"/>
      <c r="BX602" s="1833">
        <f t="shared" si="2"/>
        <v>0</v>
      </c>
      <c r="BY602" s="1834"/>
      <c r="BZ602" s="1834"/>
      <c r="CA602" s="1834"/>
      <c r="CB602" s="1835"/>
      <c r="CC602" s="1833">
        <f t="shared" si="3"/>
        <v>0</v>
      </c>
      <c r="CD602" s="1834"/>
      <c r="CE602" s="1834"/>
      <c r="CF602" s="1834"/>
      <c r="CG602" s="1835"/>
      <c r="CH602" s="1833">
        <f t="shared" si="4"/>
        <v>0</v>
      </c>
      <c r="CI602" s="1834"/>
      <c r="CJ602" s="1834"/>
      <c r="CK602" s="1834"/>
      <c r="CL602" s="1835"/>
      <c r="CM602" s="1833">
        <f t="shared" si="5"/>
        <v>0</v>
      </c>
      <c r="CN602" s="1834"/>
      <c r="CO602" s="1834"/>
      <c r="CP602" s="1834"/>
      <c r="CQ602" s="1835"/>
      <c r="CS602" s="1845">
        <f t="shared" ref="CS602:CS625" si="10">IF(AND(B705="SRO/Studio",AH705&lt;=0.3),G705,0)</f>
        <v>0</v>
      </c>
      <c r="CT602" s="1846"/>
      <c r="CU602" s="1846"/>
      <c r="CV602" s="1846"/>
      <c r="CW602" s="1847"/>
      <c r="CX602" s="1845">
        <f t="shared" ref="CX602:CX625" si="11">IF(AND(B705="1 Bedroom",AH705&lt;=0.3),G705,0)</f>
        <v>5</v>
      </c>
      <c r="CY602" s="1846"/>
      <c r="CZ602" s="1846"/>
      <c r="DA602" s="1846"/>
      <c r="DB602" s="1847"/>
      <c r="DC602" s="1845">
        <f t="shared" ref="DC602:DC625" si="12">IF(AND(B705="2 Bedrooms",AH705&lt;=0.3),G705,0)</f>
        <v>0</v>
      </c>
      <c r="DD602" s="1846"/>
      <c r="DE602" s="1846"/>
      <c r="DF602" s="1846"/>
      <c r="DG602" s="1847"/>
      <c r="DH602" s="1845">
        <f t="shared" ref="DH602:DH625" si="13">IF(AND(B705="3 Bedrooms",AH705&lt;=0.3),G705,0)</f>
        <v>0</v>
      </c>
      <c r="DI602" s="1846"/>
      <c r="DJ602" s="1846"/>
      <c r="DK602" s="1846"/>
      <c r="DL602" s="1847"/>
      <c r="DM602" s="1845">
        <f t="shared" ref="DM602:DM625" si="14">IF(AND(B705="4 Bedrooms",AH705&lt;=0.3),G705,0)</f>
        <v>0</v>
      </c>
      <c r="DN602" s="1846"/>
      <c r="DO602" s="1846"/>
      <c r="DP602" s="1846"/>
      <c r="DQ602" s="1847"/>
      <c r="DR602" s="1845">
        <f t="shared" ref="DR602:DR625" si="15">IF(AND(B705="5 Bedrooms",AH705&lt;=0.3),G705,0)</f>
        <v>0</v>
      </c>
      <c r="DS602" s="1846"/>
      <c r="DT602" s="1846"/>
      <c r="DU602" s="1846"/>
      <c r="DV602" s="1847"/>
    </row>
    <row r="603" spans="1:126" ht="13.2">
      <c r="AZ603" s="8" t="s">
        <v>854</v>
      </c>
      <c r="BA603" s="72"/>
      <c r="BB603" s="72"/>
      <c r="BC603" s="72"/>
      <c r="BD603" s="72"/>
      <c r="BE603" s="1839">
        <f t="shared" si="8"/>
        <v>1</v>
      </c>
      <c r="BF603" s="1841"/>
      <c r="BG603" s="1833">
        <f t="shared" si="6"/>
        <v>7</v>
      </c>
      <c r="BH603" s="1835"/>
      <c r="BI603" s="1839">
        <f t="shared" si="9"/>
        <v>0</v>
      </c>
      <c r="BJ603" s="1841"/>
      <c r="BK603" s="1833">
        <f t="shared" si="7"/>
        <v>0</v>
      </c>
      <c r="BL603" s="1835"/>
      <c r="BN603" s="1833">
        <f t="shared" si="0"/>
        <v>0</v>
      </c>
      <c r="BO603" s="1834"/>
      <c r="BP603" s="1834"/>
      <c r="BQ603" s="1834"/>
      <c r="BR603" s="1842"/>
      <c r="BS603" s="1833">
        <f t="shared" si="1"/>
        <v>0</v>
      </c>
      <c r="BT603" s="1834"/>
      <c r="BU603" s="1834"/>
      <c r="BV603" s="1834"/>
      <c r="BW603" s="1835"/>
      <c r="BX603" s="1833">
        <f t="shared" si="2"/>
        <v>1</v>
      </c>
      <c r="BY603" s="1834"/>
      <c r="BZ603" s="1834"/>
      <c r="CA603" s="1834"/>
      <c r="CB603" s="1835"/>
      <c r="CC603" s="1833">
        <f t="shared" si="3"/>
        <v>0</v>
      </c>
      <c r="CD603" s="1834"/>
      <c r="CE603" s="1834"/>
      <c r="CF603" s="1834"/>
      <c r="CG603" s="1835"/>
      <c r="CH603" s="1833">
        <f t="shared" si="4"/>
        <v>0</v>
      </c>
      <c r="CI603" s="1834"/>
      <c r="CJ603" s="1834"/>
      <c r="CK603" s="1834"/>
      <c r="CL603" s="1835"/>
      <c r="CM603" s="1833">
        <f t="shared" si="5"/>
        <v>0</v>
      </c>
      <c r="CN603" s="1834"/>
      <c r="CO603" s="1834"/>
      <c r="CP603" s="1834"/>
      <c r="CQ603" s="1835"/>
      <c r="CS603" s="1845">
        <f t="shared" si="10"/>
        <v>0</v>
      </c>
      <c r="CT603" s="1846"/>
      <c r="CU603" s="1846"/>
      <c r="CV603" s="1846"/>
      <c r="CW603" s="1847"/>
      <c r="CX603" s="1845">
        <f t="shared" si="11"/>
        <v>0</v>
      </c>
      <c r="CY603" s="1846"/>
      <c r="CZ603" s="1846"/>
      <c r="DA603" s="1846"/>
      <c r="DB603" s="1847"/>
      <c r="DC603" s="1845">
        <f t="shared" si="12"/>
        <v>0</v>
      </c>
      <c r="DD603" s="1846"/>
      <c r="DE603" s="1846"/>
      <c r="DF603" s="1846"/>
      <c r="DG603" s="1847"/>
      <c r="DH603" s="1845">
        <f t="shared" si="13"/>
        <v>0</v>
      </c>
      <c r="DI603" s="1846"/>
      <c r="DJ603" s="1846"/>
      <c r="DK603" s="1846"/>
      <c r="DL603" s="1847"/>
      <c r="DM603" s="1845">
        <f t="shared" si="14"/>
        <v>0</v>
      </c>
      <c r="DN603" s="1846"/>
      <c r="DO603" s="1846"/>
      <c r="DP603" s="1846"/>
      <c r="DQ603" s="1847"/>
      <c r="DR603" s="1845">
        <f t="shared" si="15"/>
        <v>0</v>
      </c>
      <c r="DS603" s="1846"/>
      <c r="DT603" s="1846"/>
      <c r="DU603" s="1846"/>
      <c r="DV603" s="1847"/>
    </row>
    <row r="604" spans="1:126" ht="13.2">
      <c r="A604" s="101" t="s">
        <v>606</v>
      </c>
      <c r="B604" s="16" t="s">
        <v>93</v>
      </c>
      <c r="G604" s="1791">
        <f>C566</f>
        <v>0</v>
      </c>
      <c r="H604" s="1791"/>
      <c r="I604" s="1791"/>
      <c r="J604" s="1791"/>
      <c r="K604" s="1791"/>
      <c r="L604" s="1791"/>
      <c r="M604" s="1791"/>
      <c r="N604" s="1791"/>
      <c r="O604" s="1791"/>
      <c r="P604" s="1791"/>
      <c r="Q604" s="1791"/>
      <c r="R604" s="1791"/>
      <c r="T604" s="101" t="s">
        <v>191</v>
      </c>
      <c r="U604" s="16" t="s">
        <v>93</v>
      </c>
      <c r="Z604" s="1791">
        <f>C567</f>
        <v>0</v>
      </c>
      <c r="AA604" s="1791"/>
      <c r="AB604" s="1791"/>
      <c r="AC604" s="1791"/>
      <c r="AD604" s="1791"/>
      <c r="AE604" s="1791"/>
      <c r="AF604" s="1791"/>
      <c r="AG604" s="1791"/>
      <c r="AH604" s="1791"/>
      <c r="AI604" s="1791"/>
      <c r="AJ604" s="1791"/>
      <c r="AK604" s="1791"/>
      <c r="AZ604" s="8" t="s">
        <v>855</v>
      </c>
      <c r="BA604" s="72"/>
      <c r="BB604" s="72"/>
      <c r="BC604" s="72"/>
      <c r="BD604" s="72"/>
      <c r="BE604" s="1839">
        <f t="shared" si="8"/>
        <v>0</v>
      </c>
      <c r="BF604" s="1841"/>
      <c r="BG604" s="1833">
        <f t="shared" si="6"/>
        <v>0</v>
      </c>
      <c r="BH604" s="1835"/>
      <c r="BI604" s="1839">
        <f t="shared" si="9"/>
        <v>1</v>
      </c>
      <c r="BJ604" s="1841"/>
      <c r="BK604" s="1833">
        <f t="shared" si="7"/>
        <v>1</v>
      </c>
      <c r="BL604" s="1835"/>
      <c r="BN604" s="1833">
        <f t="shared" si="0"/>
        <v>0</v>
      </c>
      <c r="BO604" s="1834"/>
      <c r="BP604" s="1834"/>
      <c r="BQ604" s="1834"/>
      <c r="BR604" s="1842"/>
      <c r="BS604" s="1833">
        <f t="shared" si="1"/>
        <v>0</v>
      </c>
      <c r="BT604" s="1834"/>
      <c r="BU604" s="1834"/>
      <c r="BV604" s="1834"/>
      <c r="BW604" s="1835"/>
      <c r="BX604" s="1833">
        <f t="shared" si="2"/>
        <v>2</v>
      </c>
      <c r="BY604" s="1834"/>
      <c r="BZ604" s="1834"/>
      <c r="CA604" s="1834"/>
      <c r="CB604" s="1835"/>
      <c r="CC604" s="1833">
        <f t="shared" si="3"/>
        <v>0</v>
      </c>
      <c r="CD604" s="1834"/>
      <c r="CE604" s="1834"/>
      <c r="CF604" s="1834"/>
      <c r="CG604" s="1835"/>
      <c r="CH604" s="1833">
        <f t="shared" si="4"/>
        <v>0</v>
      </c>
      <c r="CI604" s="1834"/>
      <c r="CJ604" s="1834"/>
      <c r="CK604" s="1834"/>
      <c r="CL604" s="1835"/>
      <c r="CM604" s="1833">
        <f t="shared" si="5"/>
        <v>0</v>
      </c>
      <c r="CN604" s="1834"/>
      <c r="CO604" s="1834"/>
      <c r="CP604" s="1834"/>
      <c r="CQ604" s="1835"/>
      <c r="CS604" s="1845">
        <f t="shared" si="10"/>
        <v>0</v>
      </c>
      <c r="CT604" s="1846"/>
      <c r="CU604" s="1846"/>
      <c r="CV604" s="1846"/>
      <c r="CW604" s="1847"/>
      <c r="CX604" s="1845">
        <f t="shared" si="11"/>
        <v>0</v>
      </c>
      <c r="CY604" s="1846"/>
      <c r="CZ604" s="1846"/>
      <c r="DA604" s="1846"/>
      <c r="DB604" s="1847"/>
      <c r="DC604" s="1845">
        <f t="shared" si="12"/>
        <v>1</v>
      </c>
      <c r="DD604" s="1846"/>
      <c r="DE604" s="1846"/>
      <c r="DF604" s="1846"/>
      <c r="DG604" s="1847"/>
      <c r="DH604" s="1845">
        <f t="shared" si="13"/>
        <v>0</v>
      </c>
      <c r="DI604" s="1846"/>
      <c r="DJ604" s="1846"/>
      <c r="DK604" s="1846"/>
      <c r="DL604" s="1847"/>
      <c r="DM604" s="1845">
        <f t="shared" si="14"/>
        <v>0</v>
      </c>
      <c r="DN604" s="1846"/>
      <c r="DO604" s="1846"/>
      <c r="DP604" s="1846"/>
      <c r="DQ604" s="1847"/>
      <c r="DR604" s="1845">
        <f t="shared" si="15"/>
        <v>0</v>
      </c>
      <c r="DS604" s="1846"/>
      <c r="DT604" s="1846"/>
      <c r="DU604" s="1846"/>
      <c r="DV604" s="1847"/>
    </row>
    <row r="605" spans="1:126" ht="13.2">
      <c r="A605" s="46"/>
      <c r="B605" s="16" t="s">
        <v>416</v>
      </c>
      <c r="G605" s="1788"/>
      <c r="H605" s="1788"/>
      <c r="I605" s="1788"/>
      <c r="J605" s="1788"/>
      <c r="K605" s="1788"/>
      <c r="L605" s="1788"/>
      <c r="M605" s="1788"/>
      <c r="N605" s="1788"/>
      <c r="O605" s="1788"/>
      <c r="P605" s="1788"/>
      <c r="Q605" s="1788"/>
      <c r="R605" s="1788"/>
      <c r="T605" s="46"/>
      <c r="U605" s="16" t="s">
        <v>416</v>
      </c>
      <c r="Z605" s="1788"/>
      <c r="AA605" s="1788"/>
      <c r="AB605" s="1788"/>
      <c r="AC605" s="1788"/>
      <c r="AD605" s="1788"/>
      <c r="AE605" s="1788"/>
      <c r="AF605" s="1788"/>
      <c r="AG605" s="1788"/>
      <c r="AH605" s="1788"/>
      <c r="AI605" s="1788"/>
      <c r="AJ605" s="1788"/>
      <c r="AK605" s="1788"/>
      <c r="AZ605" s="8" t="s">
        <v>383</v>
      </c>
      <c r="BA605" s="72"/>
      <c r="BB605" s="72"/>
      <c r="BC605" s="72"/>
      <c r="BD605" s="72"/>
      <c r="BE605" s="1839">
        <f t="shared" si="8"/>
        <v>1</v>
      </c>
      <c r="BF605" s="1841"/>
      <c r="BG605" s="1833">
        <f t="shared" si="6"/>
        <v>2</v>
      </c>
      <c r="BH605" s="1835"/>
      <c r="BI605" s="1839">
        <f t="shared" si="9"/>
        <v>0</v>
      </c>
      <c r="BJ605" s="1841"/>
      <c r="BK605" s="1833">
        <f t="shared" si="7"/>
        <v>0</v>
      </c>
      <c r="BL605" s="1835"/>
      <c r="BN605" s="1833">
        <f t="shared" si="0"/>
        <v>0</v>
      </c>
      <c r="BO605" s="1834"/>
      <c r="BP605" s="1834"/>
      <c r="BQ605" s="1834"/>
      <c r="BR605" s="1842"/>
      <c r="BS605" s="1833">
        <f t="shared" si="1"/>
        <v>0</v>
      </c>
      <c r="BT605" s="1834"/>
      <c r="BU605" s="1834"/>
      <c r="BV605" s="1834"/>
      <c r="BW605" s="1835"/>
      <c r="BX605" s="1833">
        <f t="shared" si="2"/>
        <v>3</v>
      </c>
      <c r="BY605" s="1834"/>
      <c r="BZ605" s="1834"/>
      <c r="CA605" s="1834"/>
      <c r="CB605" s="1835"/>
      <c r="CC605" s="1833">
        <f t="shared" si="3"/>
        <v>0</v>
      </c>
      <c r="CD605" s="1834"/>
      <c r="CE605" s="1834"/>
      <c r="CF605" s="1834"/>
      <c r="CG605" s="1835"/>
      <c r="CH605" s="1833">
        <f t="shared" si="4"/>
        <v>0</v>
      </c>
      <c r="CI605" s="1834"/>
      <c r="CJ605" s="1834"/>
      <c r="CK605" s="1834"/>
      <c r="CL605" s="1835"/>
      <c r="CM605" s="1833">
        <f t="shared" si="5"/>
        <v>0</v>
      </c>
      <c r="CN605" s="1834"/>
      <c r="CO605" s="1834"/>
      <c r="CP605" s="1834"/>
      <c r="CQ605" s="1835"/>
      <c r="CS605" s="1845">
        <f t="shared" si="10"/>
        <v>0</v>
      </c>
      <c r="CT605" s="1846"/>
      <c r="CU605" s="1846"/>
      <c r="CV605" s="1846"/>
      <c r="CW605" s="1847"/>
      <c r="CX605" s="1845">
        <f t="shared" si="11"/>
        <v>0</v>
      </c>
      <c r="CY605" s="1846"/>
      <c r="CZ605" s="1846"/>
      <c r="DA605" s="1846"/>
      <c r="DB605" s="1847"/>
      <c r="DC605" s="1845">
        <f t="shared" si="12"/>
        <v>0</v>
      </c>
      <c r="DD605" s="1846"/>
      <c r="DE605" s="1846"/>
      <c r="DF605" s="1846"/>
      <c r="DG605" s="1847"/>
      <c r="DH605" s="1845">
        <f t="shared" si="13"/>
        <v>0</v>
      </c>
      <c r="DI605" s="1846"/>
      <c r="DJ605" s="1846"/>
      <c r="DK605" s="1846"/>
      <c r="DL605" s="1847"/>
      <c r="DM605" s="1845">
        <f t="shared" si="14"/>
        <v>0</v>
      </c>
      <c r="DN605" s="1846"/>
      <c r="DO605" s="1846"/>
      <c r="DP605" s="1846"/>
      <c r="DQ605" s="1847"/>
      <c r="DR605" s="1845">
        <f t="shared" si="15"/>
        <v>0</v>
      </c>
      <c r="DS605" s="1846"/>
      <c r="DT605" s="1846"/>
      <c r="DU605" s="1846"/>
      <c r="DV605" s="1847"/>
    </row>
    <row r="606" spans="1:126" ht="13.2">
      <c r="A606" s="46"/>
      <c r="B606" s="16" t="s">
        <v>479</v>
      </c>
      <c r="G606" s="1788"/>
      <c r="H606" s="1788"/>
      <c r="I606" s="1788"/>
      <c r="J606" s="1788"/>
      <c r="K606" s="1788"/>
      <c r="L606" s="1788"/>
      <c r="M606" s="1788"/>
      <c r="N606" s="1788"/>
      <c r="O606" s="1788"/>
      <c r="P606" s="1788"/>
      <c r="Q606" s="1788"/>
      <c r="R606" s="1788"/>
      <c r="T606" s="46"/>
      <c r="U606" s="16" t="s">
        <v>479</v>
      </c>
      <c r="Z606" s="1796"/>
      <c r="AA606" s="1796"/>
      <c r="AB606" s="1796"/>
      <c r="AC606" s="1796"/>
      <c r="AD606" s="1796"/>
      <c r="AE606" s="1796"/>
      <c r="AF606" s="1796"/>
      <c r="AG606" s="1796"/>
      <c r="AH606" s="1796"/>
      <c r="AI606" s="1796"/>
      <c r="AJ606" s="1796"/>
      <c r="AK606" s="1796"/>
      <c r="AZ606" s="72"/>
      <c r="BA606" s="72"/>
      <c r="BB606" s="72"/>
      <c r="BC606" s="72"/>
      <c r="BD606" s="72"/>
      <c r="BE606" s="1839">
        <f t="shared" si="8"/>
        <v>1</v>
      </c>
      <c r="BF606" s="1841"/>
      <c r="BG606" s="1833">
        <f t="shared" si="6"/>
        <v>3</v>
      </c>
      <c r="BH606" s="1835"/>
      <c r="BI606" s="1839">
        <f t="shared" si="9"/>
        <v>0</v>
      </c>
      <c r="BJ606" s="1841"/>
      <c r="BK606" s="1833">
        <f t="shared" si="7"/>
        <v>0</v>
      </c>
      <c r="BL606" s="1835"/>
      <c r="BN606" s="1833">
        <f t="shared" si="0"/>
        <v>0</v>
      </c>
      <c r="BO606" s="1834"/>
      <c r="BP606" s="1834"/>
      <c r="BQ606" s="1834"/>
      <c r="BR606" s="1842"/>
      <c r="BS606" s="1833">
        <f t="shared" si="1"/>
        <v>0</v>
      </c>
      <c r="BT606" s="1834"/>
      <c r="BU606" s="1834"/>
      <c r="BV606" s="1834"/>
      <c r="BW606" s="1835"/>
      <c r="BX606" s="1833">
        <f t="shared" si="2"/>
        <v>2</v>
      </c>
      <c r="BY606" s="1834"/>
      <c r="BZ606" s="1834"/>
      <c r="CA606" s="1834"/>
      <c r="CB606" s="1835"/>
      <c r="CC606" s="1833">
        <f t="shared" si="3"/>
        <v>0</v>
      </c>
      <c r="CD606" s="1834"/>
      <c r="CE606" s="1834"/>
      <c r="CF606" s="1834"/>
      <c r="CG606" s="1835"/>
      <c r="CH606" s="1833">
        <f t="shared" si="4"/>
        <v>0</v>
      </c>
      <c r="CI606" s="1834"/>
      <c r="CJ606" s="1834"/>
      <c r="CK606" s="1834"/>
      <c r="CL606" s="1835"/>
      <c r="CM606" s="1833">
        <f t="shared" si="5"/>
        <v>0</v>
      </c>
      <c r="CN606" s="1834"/>
      <c r="CO606" s="1834"/>
      <c r="CP606" s="1834"/>
      <c r="CQ606" s="1835"/>
      <c r="CS606" s="1845">
        <f t="shared" si="10"/>
        <v>0</v>
      </c>
      <c r="CT606" s="1846"/>
      <c r="CU606" s="1846"/>
      <c r="CV606" s="1846"/>
      <c r="CW606" s="1847"/>
      <c r="CX606" s="1845">
        <f t="shared" si="11"/>
        <v>0</v>
      </c>
      <c r="CY606" s="1846"/>
      <c r="CZ606" s="1846"/>
      <c r="DA606" s="1846"/>
      <c r="DB606" s="1847"/>
      <c r="DC606" s="1845">
        <f t="shared" si="12"/>
        <v>0</v>
      </c>
      <c r="DD606" s="1846"/>
      <c r="DE606" s="1846"/>
      <c r="DF606" s="1846"/>
      <c r="DG606" s="1847"/>
      <c r="DH606" s="1845">
        <f t="shared" si="13"/>
        <v>0</v>
      </c>
      <c r="DI606" s="1846"/>
      <c r="DJ606" s="1846"/>
      <c r="DK606" s="1846"/>
      <c r="DL606" s="1847"/>
      <c r="DM606" s="1845">
        <f t="shared" si="14"/>
        <v>0</v>
      </c>
      <c r="DN606" s="1846"/>
      <c r="DO606" s="1846"/>
      <c r="DP606" s="1846"/>
      <c r="DQ606" s="1847"/>
      <c r="DR606" s="1845">
        <f t="shared" si="15"/>
        <v>0</v>
      </c>
      <c r="DS606" s="1846"/>
      <c r="DT606" s="1846"/>
      <c r="DU606" s="1846"/>
      <c r="DV606" s="1847"/>
    </row>
    <row r="607" spans="1:126" ht="13.2">
      <c r="A607" s="46"/>
      <c r="B607" s="16" t="s">
        <v>915</v>
      </c>
      <c r="G607" s="1788"/>
      <c r="H607" s="1788"/>
      <c r="I607" s="1788"/>
      <c r="J607" s="1788"/>
      <c r="K607" s="1788"/>
      <c r="L607" s="1788"/>
      <c r="M607" s="1788"/>
      <c r="N607" s="1788"/>
      <c r="O607" s="1788"/>
      <c r="P607" s="1788"/>
      <c r="Q607" s="1788"/>
      <c r="R607" s="1788"/>
      <c r="T607" s="46"/>
      <c r="U607" s="16" t="s">
        <v>915</v>
      </c>
      <c r="Z607" s="1796"/>
      <c r="AA607" s="1796"/>
      <c r="AB607" s="1796"/>
      <c r="AC607" s="1796"/>
      <c r="AD607" s="1796"/>
      <c r="AE607" s="1796"/>
      <c r="AF607" s="1796"/>
      <c r="AG607" s="1796"/>
      <c r="AH607" s="1796"/>
      <c r="AI607" s="1796"/>
      <c r="AJ607" s="1796"/>
      <c r="AK607" s="1796"/>
      <c r="AZ607" s="72"/>
      <c r="BA607" s="72"/>
      <c r="BB607" s="72"/>
      <c r="BC607" s="72"/>
      <c r="BD607" s="72"/>
      <c r="BE607" s="1839">
        <f t="shared" si="8"/>
        <v>0</v>
      </c>
      <c r="BF607" s="1841"/>
      <c r="BG607" s="1833">
        <f t="shared" si="6"/>
        <v>0</v>
      </c>
      <c r="BH607" s="1835"/>
      <c r="BI607" s="1839">
        <f t="shared" si="9"/>
        <v>0</v>
      </c>
      <c r="BJ607" s="1841"/>
      <c r="BK607" s="1833">
        <f t="shared" si="7"/>
        <v>0</v>
      </c>
      <c r="BL607" s="1835"/>
      <c r="BN607" s="1833">
        <f t="shared" si="0"/>
        <v>0</v>
      </c>
      <c r="BO607" s="1834"/>
      <c r="BP607" s="1834"/>
      <c r="BQ607" s="1834"/>
      <c r="BR607" s="1842"/>
      <c r="BS607" s="1833">
        <f t="shared" si="1"/>
        <v>0</v>
      </c>
      <c r="BT607" s="1834"/>
      <c r="BU607" s="1834"/>
      <c r="BV607" s="1834"/>
      <c r="BW607" s="1835"/>
      <c r="BX607" s="1833">
        <f t="shared" si="2"/>
        <v>0</v>
      </c>
      <c r="BY607" s="1834"/>
      <c r="BZ607" s="1834"/>
      <c r="CA607" s="1834"/>
      <c r="CB607" s="1835"/>
      <c r="CC607" s="1833">
        <f t="shared" si="3"/>
        <v>1</v>
      </c>
      <c r="CD607" s="1834"/>
      <c r="CE607" s="1834"/>
      <c r="CF607" s="1834"/>
      <c r="CG607" s="1835"/>
      <c r="CH607" s="1833">
        <f t="shared" si="4"/>
        <v>0</v>
      </c>
      <c r="CI607" s="1834"/>
      <c r="CJ607" s="1834"/>
      <c r="CK607" s="1834"/>
      <c r="CL607" s="1835"/>
      <c r="CM607" s="1833">
        <f t="shared" si="5"/>
        <v>0</v>
      </c>
      <c r="CN607" s="1834"/>
      <c r="CO607" s="1834"/>
      <c r="CP607" s="1834"/>
      <c r="CQ607" s="1835"/>
      <c r="CS607" s="1845">
        <f t="shared" si="10"/>
        <v>0</v>
      </c>
      <c r="CT607" s="1846"/>
      <c r="CU607" s="1846"/>
      <c r="CV607" s="1846"/>
      <c r="CW607" s="1847"/>
      <c r="CX607" s="1845">
        <f t="shared" si="11"/>
        <v>0</v>
      </c>
      <c r="CY607" s="1846"/>
      <c r="CZ607" s="1846"/>
      <c r="DA607" s="1846"/>
      <c r="DB607" s="1847"/>
      <c r="DC607" s="1845">
        <f t="shared" si="12"/>
        <v>0</v>
      </c>
      <c r="DD607" s="1846"/>
      <c r="DE607" s="1846"/>
      <c r="DF607" s="1846"/>
      <c r="DG607" s="1847"/>
      <c r="DH607" s="1845">
        <f t="shared" si="13"/>
        <v>0</v>
      </c>
      <c r="DI607" s="1846"/>
      <c r="DJ607" s="1846"/>
      <c r="DK607" s="1846"/>
      <c r="DL607" s="1847"/>
      <c r="DM607" s="1845">
        <f t="shared" si="14"/>
        <v>0</v>
      </c>
      <c r="DN607" s="1846"/>
      <c r="DO607" s="1846"/>
      <c r="DP607" s="1846"/>
      <c r="DQ607" s="1847"/>
      <c r="DR607" s="1845">
        <f t="shared" si="15"/>
        <v>0</v>
      </c>
      <c r="DS607" s="1846"/>
      <c r="DT607" s="1846"/>
      <c r="DU607" s="1846"/>
      <c r="DV607" s="1847"/>
    </row>
    <row r="608" spans="1:126" ht="13.2">
      <c r="A608" s="46"/>
      <c r="B608" s="16" t="s">
        <v>716</v>
      </c>
      <c r="G608" s="1790"/>
      <c r="H608" s="1790"/>
      <c r="I608" s="1790"/>
      <c r="J608" s="1790"/>
      <c r="K608" s="1790"/>
      <c r="L608" s="1790"/>
      <c r="O608" s="149" t="s">
        <v>900</v>
      </c>
      <c r="P608" s="1785"/>
      <c r="Q608" s="1785"/>
      <c r="R608" s="1785"/>
      <c r="T608" s="46"/>
      <c r="U608" s="16" t="s">
        <v>716</v>
      </c>
      <c r="Z608" s="1790"/>
      <c r="AA608" s="1790"/>
      <c r="AB608" s="1790"/>
      <c r="AC608" s="1790"/>
      <c r="AD608" s="1790"/>
      <c r="AE608" s="1790"/>
      <c r="AH608" s="149" t="s">
        <v>900</v>
      </c>
      <c r="AI608" s="1785"/>
      <c r="AJ608" s="1785"/>
      <c r="AK608" s="1785"/>
      <c r="AZ608" s="72"/>
      <c r="BA608" s="72"/>
      <c r="BB608" s="72"/>
      <c r="BC608" s="72"/>
      <c r="BD608" s="72"/>
      <c r="BE608" s="1839">
        <f t="shared" si="8"/>
        <v>0</v>
      </c>
      <c r="BF608" s="1841"/>
      <c r="BG608" s="1833">
        <f t="shared" si="6"/>
        <v>0</v>
      </c>
      <c r="BH608" s="1835"/>
      <c r="BI608" s="1839">
        <f t="shared" si="9"/>
        <v>1</v>
      </c>
      <c r="BJ608" s="1841"/>
      <c r="BK608" s="1833">
        <f t="shared" si="7"/>
        <v>1</v>
      </c>
      <c r="BL608" s="1835"/>
      <c r="BN608" s="1833">
        <f t="shared" si="0"/>
        <v>0</v>
      </c>
      <c r="BO608" s="1834"/>
      <c r="BP608" s="1834"/>
      <c r="BQ608" s="1834"/>
      <c r="BR608" s="1842"/>
      <c r="BS608" s="1833">
        <f t="shared" si="1"/>
        <v>0</v>
      </c>
      <c r="BT608" s="1834"/>
      <c r="BU608" s="1834"/>
      <c r="BV608" s="1834"/>
      <c r="BW608" s="1835"/>
      <c r="BX608" s="1833">
        <f t="shared" si="2"/>
        <v>0</v>
      </c>
      <c r="BY608" s="1834"/>
      <c r="BZ608" s="1834"/>
      <c r="CA608" s="1834"/>
      <c r="CB608" s="1835"/>
      <c r="CC608" s="1833">
        <f t="shared" si="3"/>
        <v>2</v>
      </c>
      <c r="CD608" s="1834"/>
      <c r="CE608" s="1834"/>
      <c r="CF608" s="1834"/>
      <c r="CG608" s="1835"/>
      <c r="CH608" s="1833">
        <f t="shared" si="4"/>
        <v>0</v>
      </c>
      <c r="CI608" s="1834"/>
      <c r="CJ608" s="1834"/>
      <c r="CK608" s="1834"/>
      <c r="CL608" s="1835"/>
      <c r="CM608" s="1833">
        <f t="shared" si="5"/>
        <v>0</v>
      </c>
      <c r="CN608" s="1834"/>
      <c r="CO608" s="1834"/>
      <c r="CP608" s="1834"/>
      <c r="CQ608" s="1835"/>
      <c r="CS608" s="1845">
        <f t="shared" si="10"/>
        <v>0</v>
      </c>
      <c r="CT608" s="1846"/>
      <c r="CU608" s="1846"/>
      <c r="CV608" s="1846"/>
      <c r="CW608" s="1847"/>
      <c r="CX608" s="1845">
        <f t="shared" si="11"/>
        <v>0</v>
      </c>
      <c r="CY608" s="1846"/>
      <c r="CZ608" s="1846"/>
      <c r="DA608" s="1846"/>
      <c r="DB608" s="1847"/>
      <c r="DC608" s="1845">
        <f t="shared" si="12"/>
        <v>0</v>
      </c>
      <c r="DD608" s="1846"/>
      <c r="DE608" s="1846"/>
      <c r="DF608" s="1846"/>
      <c r="DG608" s="1847"/>
      <c r="DH608" s="1845">
        <f t="shared" si="13"/>
        <v>1</v>
      </c>
      <c r="DI608" s="1846"/>
      <c r="DJ608" s="1846"/>
      <c r="DK608" s="1846"/>
      <c r="DL608" s="1847"/>
      <c r="DM608" s="1845">
        <f t="shared" si="14"/>
        <v>0</v>
      </c>
      <c r="DN608" s="1846"/>
      <c r="DO608" s="1846"/>
      <c r="DP608" s="1846"/>
      <c r="DQ608" s="1847"/>
      <c r="DR608" s="1845">
        <f t="shared" si="15"/>
        <v>0</v>
      </c>
      <c r="DS608" s="1846"/>
      <c r="DT608" s="1846"/>
      <c r="DU608" s="1846"/>
      <c r="DV608" s="1847"/>
    </row>
    <row r="609" spans="1:126" s="8" customFormat="1" ht="13.2">
      <c r="A609" s="46"/>
      <c r="B609" s="16" t="s">
        <v>916</v>
      </c>
      <c r="C609" s="16"/>
      <c r="D609" s="16"/>
      <c r="E609" s="16"/>
      <c r="F609" s="16"/>
      <c r="G609" s="16"/>
      <c r="H609" s="1788"/>
      <c r="I609" s="1788"/>
      <c r="J609" s="1788"/>
      <c r="K609" s="1788"/>
      <c r="L609" s="1788"/>
      <c r="M609" s="1788"/>
      <c r="N609" s="1788"/>
      <c r="O609" s="1788"/>
      <c r="P609" s="1788"/>
      <c r="Q609" s="1788"/>
      <c r="R609" s="1788"/>
      <c r="S609" s="16"/>
      <c r="T609" s="46"/>
      <c r="U609" s="16" t="s">
        <v>916</v>
      </c>
      <c r="V609" s="16"/>
      <c r="W609" s="16"/>
      <c r="X609" s="16"/>
      <c r="Y609" s="16"/>
      <c r="Z609" s="16"/>
      <c r="AA609" s="1788"/>
      <c r="AB609" s="1788"/>
      <c r="AC609" s="1788"/>
      <c r="AD609" s="1788"/>
      <c r="AE609" s="1788"/>
      <c r="AF609" s="1788"/>
      <c r="AG609" s="1788"/>
      <c r="AH609" s="1788"/>
      <c r="AI609" s="1788"/>
      <c r="AJ609" s="1788"/>
      <c r="AK609" s="1788"/>
      <c r="AL609" s="16"/>
      <c r="AZ609" s="72"/>
      <c r="BA609" s="72"/>
      <c r="BB609" s="72"/>
      <c r="BC609" s="72"/>
      <c r="BD609" s="72"/>
      <c r="BE609" s="1839">
        <f t="shared" si="8"/>
        <v>1</v>
      </c>
      <c r="BF609" s="1841"/>
      <c r="BG609" s="1833">
        <f t="shared" si="6"/>
        <v>2</v>
      </c>
      <c r="BH609" s="1835"/>
      <c r="BI609" s="1839">
        <f t="shared" si="9"/>
        <v>0</v>
      </c>
      <c r="BJ609" s="1841"/>
      <c r="BK609" s="1833">
        <f t="shared" si="7"/>
        <v>0</v>
      </c>
      <c r="BL609" s="1835"/>
      <c r="BN609" s="1833">
        <f t="shared" si="0"/>
        <v>0</v>
      </c>
      <c r="BO609" s="1834"/>
      <c r="BP609" s="1834"/>
      <c r="BQ609" s="1834"/>
      <c r="BR609" s="1842"/>
      <c r="BS609" s="1833">
        <f t="shared" si="1"/>
        <v>0</v>
      </c>
      <c r="BT609" s="1834"/>
      <c r="BU609" s="1834"/>
      <c r="BV609" s="1834"/>
      <c r="BW609" s="1835"/>
      <c r="BX609" s="1833">
        <f t="shared" si="2"/>
        <v>0</v>
      </c>
      <c r="BY609" s="1834"/>
      <c r="BZ609" s="1834"/>
      <c r="CA609" s="1834"/>
      <c r="CB609" s="1835"/>
      <c r="CC609" s="1833">
        <f t="shared" si="3"/>
        <v>2</v>
      </c>
      <c r="CD609" s="1834"/>
      <c r="CE609" s="1834"/>
      <c r="CF609" s="1834"/>
      <c r="CG609" s="1835"/>
      <c r="CH609" s="1833">
        <f t="shared" si="4"/>
        <v>0</v>
      </c>
      <c r="CI609" s="1834"/>
      <c r="CJ609" s="1834"/>
      <c r="CK609" s="1834"/>
      <c r="CL609" s="1835"/>
      <c r="CM609" s="1833">
        <f t="shared" si="5"/>
        <v>0</v>
      </c>
      <c r="CN609" s="1834"/>
      <c r="CO609" s="1834"/>
      <c r="CP609" s="1834"/>
      <c r="CQ609" s="1835"/>
      <c r="CS609" s="1845">
        <f t="shared" si="10"/>
        <v>0</v>
      </c>
      <c r="CT609" s="1846"/>
      <c r="CU609" s="1846"/>
      <c r="CV609" s="1846"/>
      <c r="CW609" s="1847"/>
      <c r="CX609" s="1845">
        <f t="shared" si="11"/>
        <v>0</v>
      </c>
      <c r="CY609" s="1846"/>
      <c r="CZ609" s="1846"/>
      <c r="DA609" s="1846"/>
      <c r="DB609" s="1847"/>
      <c r="DC609" s="1845">
        <f t="shared" si="12"/>
        <v>0</v>
      </c>
      <c r="DD609" s="1846"/>
      <c r="DE609" s="1846"/>
      <c r="DF609" s="1846"/>
      <c r="DG609" s="1847"/>
      <c r="DH609" s="1845">
        <f t="shared" si="13"/>
        <v>0</v>
      </c>
      <c r="DI609" s="1846"/>
      <c r="DJ609" s="1846"/>
      <c r="DK609" s="1846"/>
      <c r="DL609" s="1847"/>
      <c r="DM609" s="1845">
        <f t="shared" si="14"/>
        <v>0</v>
      </c>
      <c r="DN609" s="1846"/>
      <c r="DO609" s="1846"/>
      <c r="DP609" s="1846"/>
      <c r="DQ609" s="1847"/>
      <c r="DR609" s="1845">
        <f t="shared" si="15"/>
        <v>0</v>
      </c>
      <c r="DS609" s="1846"/>
      <c r="DT609" s="1846"/>
      <c r="DU609" s="1846"/>
      <c r="DV609" s="1847"/>
    </row>
    <row r="610" spans="1:126" s="8" customFormat="1" ht="13.2">
      <c r="A610" s="46"/>
      <c r="B610" s="16" t="s">
        <v>918</v>
      </c>
      <c r="C610" s="16"/>
      <c r="D610" s="16"/>
      <c r="E610" s="16"/>
      <c r="F610" s="16"/>
      <c r="G610" s="16"/>
      <c r="H610" s="16"/>
      <c r="I610" s="16"/>
      <c r="J610" s="16"/>
      <c r="K610" s="16"/>
      <c r="L610" s="16"/>
      <c r="M610" s="16"/>
      <c r="N610" s="1757" t="s">
        <v>531</v>
      </c>
      <c r="O610" s="1757"/>
      <c r="P610" s="16"/>
      <c r="Q610" s="16"/>
      <c r="R610" s="16"/>
      <c r="S610" s="16"/>
      <c r="T610" s="46"/>
      <c r="U610" s="16" t="s">
        <v>918</v>
      </c>
      <c r="V610" s="16"/>
      <c r="W610" s="16"/>
      <c r="X610" s="16"/>
      <c r="Y610" s="16"/>
      <c r="Z610" s="16"/>
      <c r="AA610" s="16"/>
      <c r="AB610" s="16"/>
      <c r="AC610" s="16"/>
      <c r="AD610" s="16"/>
      <c r="AE610" s="16"/>
      <c r="AF610" s="16"/>
      <c r="AG610" s="1757" t="s">
        <v>531</v>
      </c>
      <c r="AH610" s="1757"/>
      <c r="AI610" s="16"/>
      <c r="AJ610" s="16"/>
      <c r="AK610" s="16"/>
      <c r="AL610" s="16"/>
      <c r="AZ610" s="72"/>
      <c r="BA610" s="72"/>
      <c r="BB610" s="72"/>
      <c r="BC610" s="72"/>
      <c r="BD610" s="72"/>
      <c r="BE610" s="1839">
        <f t="shared" si="8"/>
        <v>0</v>
      </c>
      <c r="BF610" s="1841"/>
      <c r="BG610" s="1833">
        <f t="shared" si="6"/>
        <v>0</v>
      </c>
      <c r="BH610" s="1835"/>
      <c r="BI610" s="1839">
        <f t="shared" si="9"/>
        <v>0</v>
      </c>
      <c r="BJ610" s="1841"/>
      <c r="BK610" s="1833">
        <f t="shared" si="7"/>
        <v>0</v>
      </c>
      <c r="BL610" s="1835"/>
      <c r="BN610" s="1833">
        <f t="shared" si="0"/>
        <v>0</v>
      </c>
      <c r="BO610" s="1834"/>
      <c r="BP610" s="1834"/>
      <c r="BQ610" s="1834"/>
      <c r="BR610" s="1842"/>
      <c r="BS610" s="1833">
        <f t="shared" si="1"/>
        <v>0</v>
      </c>
      <c r="BT610" s="1834"/>
      <c r="BU610" s="1834"/>
      <c r="BV610" s="1834"/>
      <c r="BW610" s="1835"/>
      <c r="BX610" s="1833">
        <f t="shared" si="2"/>
        <v>0</v>
      </c>
      <c r="BY610" s="1834"/>
      <c r="BZ610" s="1834"/>
      <c r="CA610" s="1834"/>
      <c r="CB610" s="1835"/>
      <c r="CC610" s="1833">
        <f t="shared" si="3"/>
        <v>0</v>
      </c>
      <c r="CD610" s="1834"/>
      <c r="CE610" s="1834"/>
      <c r="CF610" s="1834"/>
      <c r="CG610" s="1835"/>
      <c r="CH610" s="1833">
        <f t="shared" si="4"/>
        <v>0</v>
      </c>
      <c r="CI610" s="1834"/>
      <c r="CJ610" s="1834"/>
      <c r="CK610" s="1834"/>
      <c r="CL610" s="1835"/>
      <c r="CM610" s="1833">
        <f t="shared" si="5"/>
        <v>0</v>
      </c>
      <c r="CN610" s="1834"/>
      <c r="CO610" s="1834"/>
      <c r="CP610" s="1834"/>
      <c r="CQ610" s="1835"/>
      <c r="CS610" s="1845">
        <f t="shared" si="10"/>
        <v>0</v>
      </c>
      <c r="CT610" s="1846"/>
      <c r="CU610" s="1846"/>
      <c r="CV610" s="1846"/>
      <c r="CW610" s="1847"/>
      <c r="CX610" s="1845">
        <f t="shared" si="11"/>
        <v>0</v>
      </c>
      <c r="CY610" s="1846"/>
      <c r="CZ610" s="1846"/>
      <c r="DA610" s="1846"/>
      <c r="DB610" s="1847"/>
      <c r="DC610" s="1845">
        <f t="shared" si="12"/>
        <v>0</v>
      </c>
      <c r="DD610" s="1846"/>
      <c r="DE610" s="1846"/>
      <c r="DF610" s="1846"/>
      <c r="DG610" s="1847"/>
      <c r="DH610" s="1845">
        <f t="shared" si="13"/>
        <v>0</v>
      </c>
      <c r="DI610" s="1846"/>
      <c r="DJ610" s="1846"/>
      <c r="DK610" s="1846"/>
      <c r="DL610" s="1847"/>
      <c r="DM610" s="1845">
        <f t="shared" si="14"/>
        <v>0</v>
      </c>
      <c r="DN610" s="1846"/>
      <c r="DO610" s="1846"/>
      <c r="DP610" s="1846"/>
      <c r="DQ610" s="1847"/>
      <c r="DR610" s="1845">
        <f t="shared" si="15"/>
        <v>0</v>
      </c>
      <c r="DS610" s="1846"/>
      <c r="DT610" s="1846"/>
      <c r="DU610" s="1846"/>
      <c r="DV610" s="1847"/>
    </row>
    <row r="611" spans="1:126" s="8" customFormat="1" ht="13.2">
      <c r="A611" s="16"/>
      <c r="B611" s="16"/>
      <c r="C611" s="16"/>
      <c r="D611" s="16"/>
      <c r="E611" s="16"/>
      <c r="F611" s="16"/>
      <c r="G611" s="16"/>
      <c r="H611" s="16"/>
      <c r="I611" s="16"/>
      <c r="J611" s="16"/>
      <c r="K611" s="16"/>
      <c r="L611" s="16"/>
      <c r="M611" s="16"/>
      <c r="N611" s="16"/>
      <c r="O611" s="16"/>
      <c r="P611" s="16"/>
      <c r="Q611" s="16"/>
      <c r="R611" s="16"/>
      <c r="S611" s="16"/>
      <c r="T611" s="16"/>
      <c r="U611" s="16"/>
      <c r="V611" s="16"/>
      <c r="W611" s="16"/>
      <c r="X611" s="16"/>
      <c r="Y611" s="16"/>
      <c r="Z611" s="16"/>
      <c r="AA611" s="16"/>
      <c r="AB611" s="16"/>
      <c r="AC611" s="16"/>
      <c r="AD611" s="16"/>
      <c r="AE611" s="16"/>
      <c r="AF611" s="16"/>
      <c r="AG611" s="16"/>
      <c r="AH611" s="16"/>
      <c r="AI611" s="16"/>
      <c r="AJ611" s="16"/>
      <c r="AK611" s="16"/>
      <c r="AL611" s="16"/>
      <c r="AZ611" s="72"/>
      <c r="BA611" s="72"/>
      <c r="BB611" s="72"/>
      <c r="BC611" s="72"/>
      <c r="BD611" s="72"/>
      <c r="BE611" s="1839">
        <f t="shared" si="8"/>
        <v>0</v>
      </c>
      <c r="BF611" s="1841"/>
      <c r="BG611" s="1833">
        <f t="shared" si="6"/>
        <v>0</v>
      </c>
      <c r="BH611" s="1835"/>
      <c r="BI611" s="1839">
        <f t="shared" si="9"/>
        <v>0</v>
      </c>
      <c r="BJ611" s="1841"/>
      <c r="BK611" s="1833">
        <f t="shared" si="7"/>
        <v>0</v>
      </c>
      <c r="BL611" s="1835"/>
      <c r="BN611" s="1833">
        <f t="shared" si="0"/>
        <v>0</v>
      </c>
      <c r="BO611" s="1834"/>
      <c r="BP611" s="1834"/>
      <c r="BQ611" s="1834"/>
      <c r="BR611" s="1842"/>
      <c r="BS611" s="1833">
        <f t="shared" si="1"/>
        <v>0</v>
      </c>
      <c r="BT611" s="1834"/>
      <c r="BU611" s="1834"/>
      <c r="BV611" s="1834"/>
      <c r="BW611" s="1835"/>
      <c r="BX611" s="1833">
        <f t="shared" si="2"/>
        <v>0</v>
      </c>
      <c r="BY611" s="1834"/>
      <c r="BZ611" s="1834"/>
      <c r="CA611" s="1834"/>
      <c r="CB611" s="1835"/>
      <c r="CC611" s="1833">
        <f t="shared" si="3"/>
        <v>0</v>
      </c>
      <c r="CD611" s="1834"/>
      <c r="CE611" s="1834"/>
      <c r="CF611" s="1834"/>
      <c r="CG611" s="1835"/>
      <c r="CH611" s="1833">
        <f t="shared" si="4"/>
        <v>0</v>
      </c>
      <c r="CI611" s="1834"/>
      <c r="CJ611" s="1834"/>
      <c r="CK611" s="1834"/>
      <c r="CL611" s="1835"/>
      <c r="CM611" s="1833">
        <f t="shared" si="5"/>
        <v>0</v>
      </c>
      <c r="CN611" s="1834"/>
      <c r="CO611" s="1834"/>
      <c r="CP611" s="1834"/>
      <c r="CQ611" s="1835"/>
      <c r="CS611" s="1845">
        <f t="shared" si="10"/>
        <v>0</v>
      </c>
      <c r="CT611" s="1846"/>
      <c r="CU611" s="1846"/>
      <c r="CV611" s="1846"/>
      <c r="CW611" s="1847"/>
      <c r="CX611" s="1845">
        <f t="shared" si="11"/>
        <v>0</v>
      </c>
      <c r="CY611" s="1846"/>
      <c r="CZ611" s="1846"/>
      <c r="DA611" s="1846"/>
      <c r="DB611" s="1847"/>
      <c r="DC611" s="1845">
        <f t="shared" si="12"/>
        <v>0</v>
      </c>
      <c r="DD611" s="1846"/>
      <c r="DE611" s="1846"/>
      <c r="DF611" s="1846"/>
      <c r="DG611" s="1847"/>
      <c r="DH611" s="1845">
        <f t="shared" si="13"/>
        <v>0</v>
      </c>
      <c r="DI611" s="1846"/>
      <c r="DJ611" s="1846"/>
      <c r="DK611" s="1846"/>
      <c r="DL611" s="1847"/>
      <c r="DM611" s="1845">
        <f t="shared" si="14"/>
        <v>0</v>
      </c>
      <c r="DN611" s="1846"/>
      <c r="DO611" s="1846"/>
      <c r="DP611" s="1846"/>
      <c r="DQ611" s="1847"/>
      <c r="DR611" s="1845">
        <f t="shared" si="15"/>
        <v>0</v>
      </c>
      <c r="DS611" s="1846"/>
      <c r="DT611" s="1846"/>
      <c r="DU611" s="1846"/>
      <c r="DV611" s="1847"/>
    </row>
    <row r="612" spans="1:126" ht="13.2">
      <c r="A612" s="101" t="s">
        <v>37</v>
      </c>
      <c r="B612" s="16" t="s">
        <v>93</v>
      </c>
      <c r="G612" s="1791">
        <f>C568</f>
        <v>0</v>
      </c>
      <c r="H612" s="1791"/>
      <c r="I612" s="1791"/>
      <c r="J612" s="1791"/>
      <c r="K612" s="1791"/>
      <c r="L612" s="1791"/>
      <c r="M612" s="1791"/>
      <c r="N612" s="1791"/>
      <c r="O612" s="1791"/>
      <c r="P612" s="1791"/>
      <c r="Q612" s="1791"/>
      <c r="R612" s="1791"/>
      <c r="T612" s="101" t="s">
        <v>38</v>
      </c>
      <c r="U612" s="16" t="s">
        <v>93</v>
      </c>
      <c r="Z612" s="1791">
        <f>C569</f>
        <v>0</v>
      </c>
      <c r="AA612" s="1791"/>
      <c r="AB612" s="1791"/>
      <c r="AC612" s="1791"/>
      <c r="AD612" s="1791"/>
      <c r="AE612" s="1791"/>
      <c r="AF612" s="1791"/>
      <c r="AG612" s="1791"/>
      <c r="AH612" s="1791"/>
      <c r="AI612" s="1791"/>
      <c r="AJ612" s="1791"/>
      <c r="AK612" s="1791"/>
      <c r="AZ612" s="72"/>
      <c r="BA612" s="72"/>
      <c r="BB612" s="72"/>
      <c r="BC612" s="72"/>
      <c r="BD612" s="72"/>
      <c r="BE612" s="1839">
        <f t="shared" si="8"/>
        <v>0</v>
      </c>
      <c r="BF612" s="1841"/>
      <c r="BG612" s="1833">
        <f t="shared" si="6"/>
        <v>0</v>
      </c>
      <c r="BH612" s="1835"/>
      <c r="BI612" s="1839">
        <f t="shared" si="9"/>
        <v>0</v>
      </c>
      <c r="BJ612" s="1841"/>
      <c r="BK612" s="1833">
        <f t="shared" si="7"/>
        <v>0</v>
      </c>
      <c r="BL612" s="1835"/>
      <c r="BN612" s="1833">
        <f t="shared" si="0"/>
        <v>0</v>
      </c>
      <c r="BO612" s="1834"/>
      <c r="BP612" s="1834"/>
      <c r="BQ612" s="1834"/>
      <c r="BR612" s="1842"/>
      <c r="BS612" s="1833">
        <f t="shared" si="1"/>
        <v>0</v>
      </c>
      <c r="BT612" s="1834"/>
      <c r="BU612" s="1834"/>
      <c r="BV612" s="1834"/>
      <c r="BW612" s="1835"/>
      <c r="BX612" s="1833">
        <f t="shared" si="2"/>
        <v>0</v>
      </c>
      <c r="BY612" s="1834"/>
      <c r="BZ612" s="1834"/>
      <c r="CA612" s="1834"/>
      <c r="CB612" s="1835"/>
      <c r="CC612" s="1833">
        <f t="shared" si="3"/>
        <v>0</v>
      </c>
      <c r="CD612" s="1834"/>
      <c r="CE612" s="1834"/>
      <c r="CF612" s="1834"/>
      <c r="CG612" s="1835"/>
      <c r="CH612" s="1833">
        <f t="shared" si="4"/>
        <v>0</v>
      </c>
      <c r="CI612" s="1834"/>
      <c r="CJ612" s="1834"/>
      <c r="CK612" s="1834"/>
      <c r="CL612" s="1835"/>
      <c r="CM612" s="1833">
        <f t="shared" si="5"/>
        <v>0</v>
      </c>
      <c r="CN612" s="1834"/>
      <c r="CO612" s="1834"/>
      <c r="CP612" s="1834"/>
      <c r="CQ612" s="1835"/>
      <c r="CS612" s="1845">
        <f t="shared" si="10"/>
        <v>0</v>
      </c>
      <c r="CT612" s="1846"/>
      <c r="CU612" s="1846"/>
      <c r="CV612" s="1846"/>
      <c r="CW612" s="1847"/>
      <c r="CX612" s="1845">
        <f t="shared" si="11"/>
        <v>0</v>
      </c>
      <c r="CY612" s="1846"/>
      <c r="CZ612" s="1846"/>
      <c r="DA612" s="1846"/>
      <c r="DB612" s="1847"/>
      <c r="DC612" s="1845">
        <f t="shared" si="12"/>
        <v>0</v>
      </c>
      <c r="DD612" s="1846"/>
      <c r="DE612" s="1846"/>
      <c r="DF612" s="1846"/>
      <c r="DG612" s="1847"/>
      <c r="DH612" s="1845">
        <f t="shared" si="13"/>
        <v>0</v>
      </c>
      <c r="DI612" s="1846"/>
      <c r="DJ612" s="1846"/>
      <c r="DK612" s="1846"/>
      <c r="DL612" s="1847"/>
      <c r="DM612" s="1845">
        <f t="shared" si="14"/>
        <v>0</v>
      </c>
      <c r="DN612" s="1846"/>
      <c r="DO612" s="1846"/>
      <c r="DP612" s="1846"/>
      <c r="DQ612" s="1847"/>
      <c r="DR612" s="1845">
        <f t="shared" si="15"/>
        <v>0</v>
      </c>
      <c r="DS612" s="1846"/>
      <c r="DT612" s="1846"/>
      <c r="DU612" s="1846"/>
      <c r="DV612" s="1847"/>
    </row>
    <row r="613" spans="1:126" ht="13.2">
      <c r="B613" s="16" t="s">
        <v>416</v>
      </c>
      <c r="G613" s="1788"/>
      <c r="H613" s="1788"/>
      <c r="I613" s="1788"/>
      <c r="J613" s="1788"/>
      <c r="K613" s="1788"/>
      <c r="L613" s="1788"/>
      <c r="M613" s="1788"/>
      <c r="N613" s="1788"/>
      <c r="O613" s="1788"/>
      <c r="P613" s="1788"/>
      <c r="Q613" s="1788"/>
      <c r="R613" s="1788"/>
      <c r="U613" s="16" t="s">
        <v>416</v>
      </c>
      <c r="Z613" s="1788"/>
      <c r="AA613" s="1788"/>
      <c r="AB613" s="1788"/>
      <c r="AC613" s="1788"/>
      <c r="AD613" s="1788"/>
      <c r="AE613" s="1788"/>
      <c r="AF613" s="1788"/>
      <c r="AG613" s="1788"/>
      <c r="AH613" s="1788"/>
      <c r="AI613" s="1788"/>
      <c r="AJ613" s="1788"/>
      <c r="AK613" s="1788"/>
      <c r="AL613" s="35"/>
      <c r="AZ613" s="72"/>
      <c r="BA613" s="72"/>
      <c r="BB613" s="72"/>
      <c r="BC613" s="72"/>
      <c r="BD613" s="72"/>
      <c r="BE613" s="1839">
        <f t="shared" si="8"/>
        <v>0</v>
      </c>
      <c r="BF613" s="1841"/>
      <c r="BG613" s="1833">
        <f t="shared" si="6"/>
        <v>0</v>
      </c>
      <c r="BH613" s="1835"/>
      <c r="BI613" s="1839">
        <f t="shared" si="9"/>
        <v>0</v>
      </c>
      <c r="BJ613" s="1841"/>
      <c r="BK613" s="1833">
        <f t="shared" si="7"/>
        <v>0</v>
      </c>
      <c r="BL613" s="1835"/>
      <c r="BN613" s="1833">
        <f t="shared" si="0"/>
        <v>0</v>
      </c>
      <c r="BO613" s="1834"/>
      <c r="BP613" s="1834"/>
      <c r="BQ613" s="1834"/>
      <c r="BR613" s="1842"/>
      <c r="BS613" s="1833">
        <f t="shared" si="1"/>
        <v>0</v>
      </c>
      <c r="BT613" s="1834"/>
      <c r="BU613" s="1834"/>
      <c r="BV613" s="1834"/>
      <c r="BW613" s="1835"/>
      <c r="BX613" s="1833">
        <f t="shared" si="2"/>
        <v>0</v>
      </c>
      <c r="BY613" s="1834"/>
      <c r="BZ613" s="1834"/>
      <c r="CA613" s="1834"/>
      <c r="CB613" s="1835"/>
      <c r="CC613" s="1833">
        <f t="shared" si="3"/>
        <v>0</v>
      </c>
      <c r="CD613" s="1834"/>
      <c r="CE613" s="1834"/>
      <c r="CF613" s="1834"/>
      <c r="CG613" s="1835"/>
      <c r="CH613" s="1833">
        <f t="shared" si="4"/>
        <v>0</v>
      </c>
      <c r="CI613" s="1834"/>
      <c r="CJ613" s="1834"/>
      <c r="CK613" s="1834"/>
      <c r="CL613" s="1835"/>
      <c r="CM613" s="1833">
        <f t="shared" si="5"/>
        <v>0</v>
      </c>
      <c r="CN613" s="1834"/>
      <c r="CO613" s="1834"/>
      <c r="CP613" s="1834"/>
      <c r="CQ613" s="1835"/>
      <c r="CS613" s="1845">
        <f t="shared" si="10"/>
        <v>0</v>
      </c>
      <c r="CT613" s="1846"/>
      <c r="CU613" s="1846"/>
      <c r="CV613" s="1846"/>
      <c r="CW613" s="1847"/>
      <c r="CX613" s="1845">
        <f t="shared" si="11"/>
        <v>0</v>
      </c>
      <c r="CY613" s="1846"/>
      <c r="CZ613" s="1846"/>
      <c r="DA613" s="1846"/>
      <c r="DB613" s="1847"/>
      <c r="DC613" s="1845">
        <f t="shared" si="12"/>
        <v>0</v>
      </c>
      <c r="DD613" s="1846"/>
      <c r="DE613" s="1846"/>
      <c r="DF613" s="1846"/>
      <c r="DG613" s="1847"/>
      <c r="DH613" s="1845">
        <f t="shared" si="13"/>
        <v>0</v>
      </c>
      <c r="DI613" s="1846"/>
      <c r="DJ613" s="1846"/>
      <c r="DK613" s="1846"/>
      <c r="DL613" s="1847"/>
      <c r="DM613" s="1845">
        <f t="shared" si="14"/>
        <v>0</v>
      </c>
      <c r="DN613" s="1846"/>
      <c r="DO613" s="1846"/>
      <c r="DP613" s="1846"/>
      <c r="DQ613" s="1847"/>
      <c r="DR613" s="1845">
        <f t="shared" si="15"/>
        <v>0</v>
      </c>
      <c r="DS613" s="1846"/>
      <c r="DT613" s="1846"/>
      <c r="DU613" s="1846"/>
      <c r="DV613" s="1847"/>
    </row>
    <row r="614" spans="1:126" ht="13.2">
      <c r="B614" s="16" t="s">
        <v>479</v>
      </c>
      <c r="G614" s="1788"/>
      <c r="H614" s="1788"/>
      <c r="I614" s="1788"/>
      <c r="J614" s="1788"/>
      <c r="K614" s="1788"/>
      <c r="L614" s="1788"/>
      <c r="M614" s="1788"/>
      <c r="N614" s="1788"/>
      <c r="O614" s="1788"/>
      <c r="P614" s="1788"/>
      <c r="Q614" s="1788"/>
      <c r="R614" s="1788"/>
      <c r="U614" s="16" t="s">
        <v>479</v>
      </c>
      <c r="Z614" s="1796"/>
      <c r="AA614" s="1796"/>
      <c r="AB614" s="1796"/>
      <c r="AC614" s="1796"/>
      <c r="AD614" s="1796"/>
      <c r="AE614" s="1796"/>
      <c r="AF614" s="1796"/>
      <c r="AG614" s="1796"/>
      <c r="AH614" s="1796"/>
      <c r="AI614" s="1796"/>
      <c r="AJ614" s="1796"/>
      <c r="AK614" s="1796"/>
      <c r="AL614" s="488"/>
      <c r="BA614" s="72"/>
      <c r="BB614" s="72"/>
      <c r="BC614" s="72"/>
      <c r="BD614" s="72"/>
      <c r="BE614" s="1839">
        <f t="shared" si="8"/>
        <v>0</v>
      </c>
      <c r="BF614" s="1841"/>
      <c r="BG614" s="1833">
        <f t="shared" si="6"/>
        <v>0</v>
      </c>
      <c r="BH614" s="1835"/>
      <c r="BI614" s="1839">
        <f t="shared" si="9"/>
        <v>0</v>
      </c>
      <c r="BJ614" s="1841"/>
      <c r="BK614" s="1833">
        <f t="shared" si="7"/>
        <v>0</v>
      </c>
      <c r="BL614" s="1835"/>
      <c r="BN614" s="1833">
        <f t="shared" si="0"/>
        <v>0</v>
      </c>
      <c r="BO614" s="1834"/>
      <c r="BP614" s="1834"/>
      <c r="BQ614" s="1834"/>
      <c r="BR614" s="1842"/>
      <c r="BS614" s="1833">
        <f t="shared" si="1"/>
        <v>0</v>
      </c>
      <c r="BT614" s="1834"/>
      <c r="BU614" s="1834"/>
      <c r="BV614" s="1834"/>
      <c r="BW614" s="1835"/>
      <c r="BX614" s="1833">
        <f t="shared" si="2"/>
        <v>0</v>
      </c>
      <c r="BY614" s="1834"/>
      <c r="BZ614" s="1834"/>
      <c r="CA614" s="1834"/>
      <c r="CB614" s="1835"/>
      <c r="CC614" s="1833">
        <f t="shared" si="3"/>
        <v>0</v>
      </c>
      <c r="CD614" s="1834"/>
      <c r="CE614" s="1834"/>
      <c r="CF614" s="1834"/>
      <c r="CG614" s="1835"/>
      <c r="CH614" s="1833">
        <f t="shared" si="4"/>
        <v>0</v>
      </c>
      <c r="CI614" s="1834"/>
      <c r="CJ614" s="1834"/>
      <c r="CK614" s="1834"/>
      <c r="CL614" s="1835"/>
      <c r="CM614" s="1833">
        <f t="shared" si="5"/>
        <v>0</v>
      </c>
      <c r="CN614" s="1834"/>
      <c r="CO614" s="1834"/>
      <c r="CP614" s="1834"/>
      <c r="CQ614" s="1835"/>
      <c r="CS614" s="1845">
        <f t="shared" si="10"/>
        <v>0</v>
      </c>
      <c r="CT614" s="1846"/>
      <c r="CU614" s="1846"/>
      <c r="CV614" s="1846"/>
      <c r="CW614" s="1847"/>
      <c r="CX614" s="1845">
        <f t="shared" si="11"/>
        <v>0</v>
      </c>
      <c r="CY614" s="1846"/>
      <c r="CZ614" s="1846"/>
      <c r="DA614" s="1846"/>
      <c r="DB614" s="1847"/>
      <c r="DC614" s="1845">
        <f t="shared" si="12"/>
        <v>0</v>
      </c>
      <c r="DD614" s="1846"/>
      <c r="DE614" s="1846"/>
      <c r="DF614" s="1846"/>
      <c r="DG614" s="1847"/>
      <c r="DH614" s="1845">
        <f t="shared" si="13"/>
        <v>0</v>
      </c>
      <c r="DI614" s="1846"/>
      <c r="DJ614" s="1846"/>
      <c r="DK614" s="1846"/>
      <c r="DL614" s="1847"/>
      <c r="DM614" s="1845">
        <f t="shared" si="14"/>
        <v>0</v>
      </c>
      <c r="DN614" s="1846"/>
      <c r="DO614" s="1846"/>
      <c r="DP614" s="1846"/>
      <c r="DQ614" s="1847"/>
      <c r="DR614" s="1845">
        <f t="shared" si="15"/>
        <v>0</v>
      </c>
      <c r="DS614" s="1846"/>
      <c r="DT614" s="1846"/>
      <c r="DU614" s="1846"/>
      <c r="DV614" s="1847"/>
    </row>
    <row r="615" spans="1:126" ht="13.2">
      <c r="B615" s="16" t="s">
        <v>915</v>
      </c>
      <c r="G615" s="1788"/>
      <c r="H615" s="1788"/>
      <c r="I615" s="1788"/>
      <c r="J615" s="1788"/>
      <c r="K615" s="1788"/>
      <c r="L615" s="1788"/>
      <c r="M615" s="1788"/>
      <c r="N615" s="1788"/>
      <c r="O615" s="1788"/>
      <c r="P615" s="1788"/>
      <c r="Q615" s="1788"/>
      <c r="R615" s="1788"/>
      <c r="U615" s="16" t="s">
        <v>915</v>
      </c>
      <c r="Z615" s="1796"/>
      <c r="AA615" s="1796"/>
      <c r="AB615" s="1796"/>
      <c r="AC615" s="1796"/>
      <c r="AD615" s="1796"/>
      <c r="AE615" s="1796"/>
      <c r="AF615" s="1796"/>
      <c r="AG615" s="1796"/>
      <c r="AH615" s="1796"/>
      <c r="AI615" s="1796"/>
      <c r="AJ615" s="1796"/>
      <c r="AK615" s="1796"/>
      <c r="AL615" s="488"/>
      <c r="BA615" s="72"/>
      <c r="BB615" s="72"/>
      <c r="BC615" s="72"/>
      <c r="BD615" s="72"/>
      <c r="BE615" s="1839">
        <f t="shared" si="8"/>
        <v>0</v>
      </c>
      <c r="BF615" s="1841"/>
      <c r="BG615" s="1833">
        <f t="shared" si="6"/>
        <v>0</v>
      </c>
      <c r="BH615" s="1835"/>
      <c r="BI615" s="1839">
        <f t="shared" si="9"/>
        <v>0</v>
      </c>
      <c r="BJ615" s="1841"/>
      <c r="BK615" s="1833">
        <f t="shared" si="7"/>
        <v>0</v>
      </c>
      <c r="BL615" s="1835"/>
      <c r="BN615" s="1833">
        <f t="shared" si="0"/>
        <v>0</v>
      </c>
      <c r="BO615" s="1834"/>
      <c r="BP615" s="1834"/>
      <c r="BQ615" s="1834"/>
      <c r="BR615" s="1842"/>
      <c r="BS615" s="1833">
        <f t="shared" si="1"/>
        <v>0</v>
      </c>
      <c r="BT615" s="1834"/>
      <c r="BU615" s="1834"/>
      <c r="BV615" s="1834"/>
      <c r="BW615" s="1835"/>
      <c r="BX615" s="1833">
        <f t="shared" si="2"/>
        <v>0</v>
      </c>
      <c r="BY615" s="1834"/>
      <c r="BZ615" s="1834"/>
      <c r="CA615" s="1834"/>
      <c r="CB615" s="1835"/>
      <c r="CC615" s="1833">
        <f t="shared" si="3"/>
        <v>0</v>
      </c>
      <c r="CD615" s="1834"/>
      <c r="CE615" s="1834"/>
      <c r="CF615" s="1834"/>
      <c r="CG615" s="1835"/>
      <c r="CH615" s="1833">
        <f t="shared" si="4"/>
        <v>0</v>
      </c>
      <c r="CI615" s="1834"/>
      <c r="CJ615" s="1834"/>
      <c r="CK615" s="1834"/>
      <c r="CL615" s="1835"/>
      <c r="CM615" s="1833">
        <f t="shared" si="5"/>
        <v>0</v>
      </c>
      <c r="CN615" s="1834"/>
      <c r="CO615" s="1834"/>
      <c r="CP615" s="1834"/>
      <c r="CQ615" s="1835"/>
      <c r="CS615" s="1845">
        <f t="shared" si="10"/>
        <v>0</v>
      </c>
      <c r="CT615" s="1846"/>
      <c r="CU615" s="1846"/>
      <c r="CV615" s="1846"/>
      <c r="CW615" s="1847"/>
      <c r="CX615" s="1845">
        <f t="shared" si="11"/>
        <v>0</v>
      </c>
      <c r="CY615" s="1846"/>
      <c r="CZ615" s="1846"/>
      <c r="DA615" s="1846"/>
      <c r="DB615" s="1847"/>
      <c r="DC615" s="1845">
        <f t="shared" si="12"/>
        <v>0</v>
      </c>
      <c r="DD615" s="1846"/>
      <c r="DE615" s="1846"/>
      <c r="DF615" s="1846"/>
      <c r="DG615" s="1847"/>
      <c r="DH615" s="1845">
        <f t="shared" si="13"/>
        <v>0</v>
      </c>
      <c r="DI615" s="1846"/>
      <c r="DJ615" s="1846"/>
      <c r="DK615" s="1846"/>
      <c r="DL615" s="1847"/>
      <c r="DM615" s="1845">
        <f t="shared" si="14"/>
        <v>0</v>
      </c>
      <c r="DN615" s="1846"/>
      <c r="DO615" s="1846"/>
      <c r="DP615" s="1846"/>
      <c r="DQ615" s="1847"/>
      <c r="DR615" s="1845">
        <f t="shared" si="15"/>
        <v>0</v>
      </c>
      <c r="DS615" s="1846"/>
      <c r="DT615" s="1846"/>
      <c r="DU615" s="1846"/>
      <c r="DV615" s="1847"/>
    </row>
    <row r="616" spans="1:126" ht="13.2">
      <c r="B616" s="16" t="s">
        <v>716</v>
      </c>
      <c r="G616" s="1790"/>
      <c r="H616" s="1790"/>
      <c r="I616" s="1790"/>
      <c r="J616" s="1790"/>
      <c r="K616" s="1790"/>
      <c r="L616" s="1790"/>
      <c r="O616" s="149" t="s">
        <v>900</v>
      </c>
      <c r="P616" s="1785"/>
      <c r="Q616" s="1785"/>
      <c r="R616" s="1785"/>
      <c r="U616" s="16" t="s">
        <v>716</v>
      </c>
      <c r="Z616" s="1790"/>
      <c r="AA616" s="1790"/>
      <c r="AB616" s="1790"/>
      <c r="AC616" s="1790"/>
      <c r="AD616" s="1790"/>
      <c r="AE616" s="1790"/>
      <c r="AH616" s="149" t="s">
        <v>900</v>
      </c>
      <c r="AI616" s="1785"/>
      <c r="AJ616" s="1785"/>
      <c r="AK616" s="1785"/>
      <c r="AL616" s="3"/>
      <c r="AZ616" s="72"/>
      <c r="BA616" s="72"/>
      <c r="BB616" s="72"/>
      <c r="BC616" s="72"/>
      <c r="BD616" s="72"/>
      <c r="BE616" s="1839">
        <f t="shared" si="8"/>
        <v>0</v>
      </c>
      <c r="BF616" s="1841"/>
      <c r="BG616" s="1833">
        <f t="shared" si="6"/>
        <v>0</v>
      </c>
      <c r="BH616" s="1835"/>
      <c r="BI616" s="1839">
        <f t="shared" si="9"/>
        <v>0</v>
      </c>
      <c r="BJ616" s="1841"/>
      <c r="BK616" s="1833">
        <f t="shared" si="7"/>
        <v>0</v>
      </c>
      <c r="BL616" s="1835"/>
      <c r="BN616" s="1833">
        <f t="shared" si="0"/>
        <v>0</v>
      </c>
      <c r="BO616" s="1834"/>
      <c r="BP616" s="1834"/>
      <c r="BQ616" s="1834"/>
      <c r="BR616" s="1842"/>
      <c r="BS616" s="1833">
        <f t="shared" si="1"/>
        <v>0</v>
      </c>
      <c r="BT616" s="1834"/>
      <c r="BU616" s="1834"/>
      <c r="BV616" s="1834"/>
      <c r="BW616" s="1835"/>
      <c r="BX616" s="1833">
        <f t="shared" si="2"/>
        <v>0</v>
      </c>
      <c r="BY616" s="1834"/>
      <c r="BZ616" s="1834"/>
      <c r="CA616" s="1834"/>
      <c r="CB616" s="1835"/>
      <c r="CC616" s="1833">
        <f t="shared" si="3"/>
        <v>0</v>
      </c>
      <c r="CD616" s="1834"/>
      <c r="CE616" s="1834"/>
      <c r="CF616" s="1834"/>
      <c r="CG616" s="1835"/>
      <c r="CH616" s="1833">
        <f t="shared" si="4"/>
        <v>0</v>
      </c>
      <c r="CI616" s="1834"/>
      <c r="CJ616" s="1834"/>
      <c r="CK616" s="1834"/>
      <c r="CL616" s="1835"/>
      <c r="CM616" s="1833">
        <f t="shared" si="5"/>
        <v>0</v>
      </c>
      <c r="CN616" s="1834"/>
      <c r="CO616" s="1834"/>
      <c r="CP616" s="1834"/>
      <c r="CQ616" s="1835"/>
      <c r="CS616" s="1845">
        <f t="shared" si="10"/>
        <v>0</v>
      </c>
      <c r="CT616" s="1846"/>
      <c r="CU616" s="1846"/>
      <c r="CV616" s="1846"/>
      <c r="CW616" s="1847"/>
      <c r="CX616" s="1845">
        <f t="shared" si="11"/>
        <v>0</v>
      </c>
      <c r="CY616" s="1846"/>
      <c r="CZ616" s="1846"/>
      <c r="DA616" s="1846"/>
      <c r="DB616" s="1847"/>
      <c r="DC616" s="1845">
        <f t="shared" si="12"/>
        <v>0</v>
      </c>
      <c r="DD616" s="1846"/>
      <c r="DE616" s="1846"/>
      <c r="DF616" s="1846"/>
      <c r="DG616" s="1847"/>
      <c r="DH616" s="1845">
        <f t="shared" si="13"/>
        <v>0</v>
      </c>
      <c r="DI616" s="1846"/>
      <c r="DJ616" s="1846"/>
      <c r="DK616" s="1846"/>
      <c r="DL616" s="1847"/>
      <c r="DM616" s="1845">
        <f t="shared" si="14"/>
        <v>0</v>
      </c>
      <c r="DN616" s="1846"/>
      <c r="DO616" s="1846"/>
      <c r="DP616" s="1846"/>
      <c r="DQ616" s="1847"/>
      <c r="DR616" s="1845">
        <f t="shared" si="15"/>
        <v>0</v>
      </c>
      <c r="DS616" s="1846"/>
      <c r="DT616" s="1846"/>
      <c r="DU616" s="1846"/>
      <c r="DV616" s="1847"/>
    </row>
    <row r="617" spans="1:126" ht="13.2">
      <c r="B617" s="16" t="s">
        <v>916</v>
      </c>
      <c r="H617" s="1788"/>
      <c r="I617" s="1788"/>
      <c r="J617" s="1788"/>
      <c r="K617" s="1788"/>
      <c r="L617" s="1788"/>
      <c r="M617" s="1788"/>
      <c r="N617" s="1788"/>
      <c r="O617" s="1788"/>
      <c r="P617" s="1788"/>
      <c r="Q617" s="1788"/>
      <c r="R617" s="1788"/>
      <c r="U617" s="16" t="s">
        <v>916</v>
      </c>
      <c r="AA617" s="1788"/>
      <c r="AB617" s="1788"/>
      <c r="AC617" s="1788"/>
      <c r="AD617" s="1788"/>
      <c r="AE617" s="1788"/>
      <c r="AF617" s="1788"/>
      <c r="AG617" s="1788"/>
      <c r="AH617" s="1788"/>
      <c r="AI617" s="1788"/>
      <c r="AJ617" s="1788"/>
      <c r="AK617" s="1788"/>
      <c r="AL617" s="3"/>
      <c r="AZ617" s="72"/>
      <c r="BA617" s="72"/>
      <c r="BB617" s="72"/>
      <c r="BC617" s="72"/>
      <c r="BD617" s="72"/>
      <c r="BE617" s="1839">
        <f t="shared" si="8"/>
        <v>0</v>
      </c>
      <c r="BF617" s="1841"/>
      <c r="BG617" s="1833">
        <f t="shared" si="6"/>
        <v>0</v>
      </c>
      <c r="BH617" s="1835"/>
      <c r="BI617" s="1839">
        <f t="shared" si="9"/>
        <v>0</v>
      </c>
      <c r="BJ617" s="1841"/>
      <c r="BK617" s="1833">
        <f t="shared" si="7"/>
        <v>0</v>
      </c>
      <c r="BL617" s="1835"/>
      <c r="BN617" s="1833">
        <f t="shared" si="0"/>
        <v>0</v>
      </c>
      <c r="BO617" s="1834"/>
      <c r="BP617" s="1834"/>
      <c r="BQ617" s="1834"/>
      <c r="BR617" s="1842"/>
      <c r="BS617" s="1833">
        <f t="shared" si="1"/>
        <v>0</v>
      </c>
      <c r="BT617" s="1834"/>
      <c r="BU617" s="1834"/>
      <c r="BV617" s="1834"/>
      <c r="BW617" s="1835"/>
      <c r="BX617" s="1833">
        <f t="shared" si="2"/>
        <v>0</v>
      </c>
      <c r="BY617" s="1834"/>
      <c r="BZ617" s="1834"/>
      <c r="CA617" s="1834"/>
      <c r="CB617" s="1835"/>
      <c r="CC617" s="1833">
        <f t="shared" si="3"/>
        <v>0</v>
      </c>
      <c r="CD617" s="1834"/>
      <c r="CE617" s="1834"/>
      <c r="CF617" s="1834"/>
      <c r="CG617" s="1835"/>
      <c r="CH617" s="1833">
        <f t="shared" si="4"/>
        <v>0</v>
      </c>
      <c r="CI617" s="1834"/>
      <c r="CJ617" s="1834"/>
      <c r="CK617" s="1834"/>
      <c r="CL617" s="1835"/>
      <c r="CM617" s="1833">
        <f t="shared" si="5"/>
        <v>0</v>
      </c>
      <c r="CN617" s="1834"/>
      <c r="CO617" s="1834"/>
      <c r="CP617" s="1834"/>
      <c r="CQ617" s="1835"/>
      <c r="CS617" s="1845">
        <f t="shared" si="10"/>
        <v>0</v>
      </c>
      <c r="CT617" s="1846"/>
      <c r="CU617" s="1846"/>
      <c r="CV617" s="1846"/>
      <c r="CW617" s="1847"/>
      <c r="CX617" s="1845">
        <f t="shared" si="11"/>
        <v>0</v>
      </c>
      <c r="CY617" s="1846"/>
      <c r="CZ617" s="1846"/>
      <c r="DA617" s="1846"/>
      <c r="DB617" s="1847"/>
      <c r="DC617" s="1845">
        <f t="shared" si="12"/>
        <v>0</v>
      </c>
      <c r="DD617" s="1846"/>
      <c r="DE617" s="1846"/>
      <c r="DF617" s="1846"/>
      <c r="DG617" s="1847"/>
      <c r="DH617" s="1845">
        <f t="shared" si="13"/>
        <v>0</v>
      </c>
      <c r="DI617" s="1846"/>
      <c r="DJ617" s="1846"/>
      <c r="DK617" s="1846"/>
      <c r="DL617" s="1847"/>
      <c r="DM617" s="1845">
        <f t="shared" si="14"/>
        <v>0</v>
      </c>
      <c r="DN617" s="1846"/>
      <c r="DO617" s="1846"/>
      <c r="DP617" s="1846"/>
      <c r="DQ617" s="1847"/>
      <c r="DR617" s="1845">
        <f t="shared" si="15"/>
        <v>0</v>
      </c>
      <c r="DS617" s="1846"/>
      <c r="DT617" s="1846"/>
      <c r="DU617" s="1846"/>
      <c r="DV617" s="1847"/>
    </row>
    <row r="618" spans="1:126" ht="12.75" customHeight="1">
      <c r="B618" s="16" t="s">
        <v>918</v>
      </c>
      <c r="N618" s="1786" t="s">
        <v>531</v>
      </c>
      <c r="O618" s="1786"/>
      <c r="U618" s="16" t="s">
        <v>918</v>
      </c>
      <c r="AG618" s="1786" t="s">
        <v>531</v>
      </c>
      <c r="AH618" s="1786"/>
      <c r="AL618" s="3"/>
      <c r="AZ618" s="72"/>
      <c r="BA618" s="72"/>
      <c r="BB618" s="72"/>
      <c r="BC618" s="72"/>
      <c r="BD618" s="72"/>
      <c r="BE618" s="1839">
        <f t="shared" si="8"/>
        <v>0</v>
      </c>
      <c r="BF618" s="1841"/>
      <c r="BG618" s="1833">
        <f t="shared" si="6"/>
        <v>0</v>
      </c>
      <c r="BH618" s="1835"/>
      <c r="BI618" s="1839">
        <f t="shared" si="9"/>
        <v>0</v>
      </c>
      <c r="BJ618" s="1841"/>
      <c r="BK618" s="1833">
        <f t="shared" si="7"/>
        <v>0</v>
      </c>
      <c r="BL618" s="1835"/>
      <c r="BN618" s="1833">
        <f t="shared" si="0"/>
        <v>0</v>
      </c>
      <c r="BO618" s="1834"/>
      <c r="BP618" s="1834"/>
      <c r="BQ618" s="1834"/>
      <c r="BR618" s="1842"/>
      <c r="BS618" s="1833">
        <f t="shared" si="1"/>
        <v>0</v>
      </c>
      <c r="BT618" s="1834"/>
      <c r="BU618" s="1834"/>
      <c r="BV618" s="1834"/>
      <c r="BW618" s="1835"/>
      <c r="BX618" s="1833">
        <f t="shared" si="2"/>
        <v>0</v>
      </c>
      <c r="BY618" s="1834"/>
      <c r="BZ618" s="1834"/>
      <c r="CA618" s="1834"/>
      <c r="CB618" s="1835"/>
      <c r="CC618" s="1833">
        <f t="shared" si="3"/>
        <v>0</v>
      </c>
      <c r="CD618" s="1834"/>
      <c r="CE618" s="1834"/>
      <c r="CF618" s="1834"/>
      <c r="CG618" s="1835"/>
      <c r="CH618" s="1833">
        <f t="shared" si="4"/>
        <v>0</v>
      </c>
      <c r="CI618" s="1834"/>
      <c r="CJ618" s="1834"/>
      <c r="CK618" s="1834"/>
      <c r="CL618" s="1835"/>
      <c r="CM618" s="1833">
        <f t="shared" si="5"/>
        <v>0</v>
      </c>
      <c r="CN618" s="1834"/>
      <c r="CO618" s="1834"/>
      <c r="CP618" s="1834"/>
      <c r="CQ618" s="1835"/>
      <c r="CS618" s="1845">
        <f t="shared" si="10"/>
        <v>0</v>
      </c>
      <c r="CT618" s="1846"/>
      <c r="CU618" s="1846"/>
      <c r="CV618" s="1846"/>
      <c r="CW618" s="1847"/>
      <c r="CX618" s="1845">
        <f t="shared" si="11"/>
        <v>0</v>
      </c>
      <c r="CY618" s="1846"/>
      <c r="CZ618" s="1846"/>
      <c r="DA618" s="1846"/>
      <c r="DB618" s="1847"/>
      <c r="DC618" s="1845">
        <f t="shared" si="12"/>
        <v>0</v>
      </c>
      <c r="DD618" s="1846"/>
      <c r="DE618" s="1846"/>
      <c r="DF618" s="1846"/>
      <c r="DG618" s="1847"/>
      <c r="DH618" s="1845">
        <f t="shared" si="13"/>
        <v>0</v>
      </c>
      <c r="DI618" s="1846"/>
      <c r="DJ618" s="1846"/>
      <c r="DK618" s="1846"/>
      <c r="DL618" s="1847"/>
      <c r="DM618" s="1845">
        <f t="shared" si="14"/>
        <v>0</v>
      </c>
      <c r="DN618" s="1846"/>
      <c r="DO618" s="1846"/>
      <c r="DP618" s="1846"/>
      <c r="DQ618" s="1847"/>
      <c r="DR618" s="1845">
        <f t="shared" si="15"/>
        <v>0</v>
      </c>
      <c r="DS618" s="1846"/>
      <c r="DT618" s="1846"/>
      <c r="DU618" s="1846"/>
      <c r="DV618" s="1847"/>
    </row>
    <row r="619" spans="1:126" ht="13.2">
      <c r="AZ619" s="72"/>
      <c r="BA619" s="72"/>
      <c r="BB619" s="72"/>
      <c r="BC619" s="72"/>
      <c r="BD619" s="72"/>
      <c r="BE619" s="1839">
        <f t="shared" si="8"/>
        <v>0</v>
      </c>
      <c r="BF619" s="1841"/>
      <c r="BG619" s="1833">
        <f t="shared" si="6"/>
        <v>0</v>
      </c>
      <c r="BH619" s="1835"/>
      <c r="BI619" s="1839">
        <f t="shared" si="9"/>
        <v>0</v>
      </c>
      <c r="BJ619" s="1841"/>
      <c r="BK619" s="1833">
        <f t="shared" si="7"/>
        <v>0</v>
      </c>
      <c r="BL619" s="1835"/>
      <c r="BN619" s="1833">
        <f t="shared" si="0"/>
        <v>0</v>
      </c>
      <c r="BO619" s="1834"/>
      <c r="BP619" s="1834"/>
      <c r="BQ619" s="1834"/>
      <c r="BR619" s="1842"/>
      <c r="BS619" s="1833">
        <f t="shared" si="1"/>
        <v>0</v>
      </c>
      <c r="BT619" s="1834"/>
      <c r="BU619" s="1834"/>
      <c r="BV619" s="1834"/>
      <c r="BW619" s="1835"/>
      <c r="BX619" s="1833">
        <f t="shared" si="2"/>
        <v>0</v>
      </c>
      <c r="BY619" s="1834"/>
      <c r="BZ619" s="1834"/>
      <c r="CA619" s="1834"/>
      <c r="CB619" s="1835"/>
      <c r="CC619" s="1833">
        <f t="shared" si="3"/>
        <v>0</v>
      </c>
      <c r="CD619" s="1834"/>
      <c r="CE619" s="1834"/>
      <c r="CF619" s="1834"/>
      <c r="CG619" s="1835"/>
      <c r="CH619" s="1833">
        <f t="shared" si="4"/>
        <v>0</v>
      </c>
      <c r="CI619" s="1834"/>
      <c r="CJ619" s="1834"/>
      <c r="CK619" s="1834"/>
      <c r="CL619" s="1835"/>
      <c r="CM619" s="1833">
        <f t="shared" si="5"/>
        <v>0</v>
      </c>
      <c r="CN619" s="1834"/>
      <c r="CO619" s="1834"/>
      <c r="CP619" s="1834"/>
      <c r="CQ619" s="1835"/>
      <c r="CS619" s="1845">
        <f t="shared" si="10"/>
        <v>0</v>
      </c>
      <c r="CT619" s="1846"/>
      <c r="CU619" s="1846"/>
      <c r="CV619" s="1846"/>
      <c r="CW619" s="1847"/>
      <c r="CX619" s="1845">
        <f t="shared" si="11"/>
        <v>0</v>
      </c>
      <c r="CY619" s="1846"/>
      <c r="CZ619" s="1846"/>
      <c r="DA619" s="1846"/>
      <c r="DB619" s="1847"/>
      <c r="DC619" s="1845">
        <f t="shared" si="12"/>
        <v>0</v>
      </c>
      <c r="DD619" s="1846"/>
      <c r="DE619" s="1846"/>
      <c r="DF619" s="1846"/>
      <c r="DG619" s="1847"/>
      <c r="DH619" s="1845">
        <f t="shared" si="13"/>
        <v>0</v>
      </c>
      <c r="DI619" s="1846"/>
      <c r="DJ619" s="1846"/>
      <c r="DK619" s="1846"/>
      <c r="DL619" s="1847"/>
      <c r="DM619" s="1845">
        <f t="shared" si="14"/>
        <v>0</v>
      </c>
      <c r="DN619" s="1846"/>
      <c r="DO619" s="1846"/>
      <c r="DP619" s="1846"/>
      <c r="DQ619" s="1847"/>
      <c r="DR619" s="1845">
        <f t="shared" si="15"/>
        <v>0</v>
      </c>
      <c r="DS619" s="1846"/>
      <c r="DT619" s="1846"/>
      <c r="DU619" s="1846"/>
      <c r="DV619" s="1847"/>
    </row>
    <row r="620" spans="1:126" ht="12.75" customHeight="1">
      <c r="A620" s="1441" t="s">
        <v>138</v>
      </c>
      <c r="B620" s="1441"/>
      <c r="C620" s="1441"/>
      <c r="D620" s="1441"/>
      <c r="E620" s="1441"/>
      <c r="F620" s="1441"/>
      <c r="G620" s="1441"/>
      <c r="H620" s="1441"/>
      <c r="I620" s="1441"/>
      <c r="J620" s="1441"/>
      <c r="K620" s="1441"/>
      <c r="L620" s="1441"/>
      <c r="M620" s="1441"/>
      <c r="N620" s="1441"/>
      <c r="O620" s="1441"/>
      <c r="P620" s="1441"/>
      <c r="Q620" s="1441"/>
      <c r="R620" s="1441"/>
      <c r="S620" s="1441"/>
      <c r="T620" s="1441"/>
      <c r="U620" s="1441"/>
      <c r="V620" s="1441"/>
      <c r="W620" s="1441"/>
      <c r="X620" s="1441"/>
      <c r="Y620" s="1441"/>
      <c r="Z620" s="1441"/>
      <c r="AA620" s="1441"/>
      <c r="AB620" s="1441"/>
      <c r="AC620" s="1441"/>
      <c r="AD620" s="1441"/>
      <c r="AE620" s="1441"/>
      <c r="AF620" s="1441"/>
      <c r="AG620" s="1441"/>
      <c r="AH620" s="1441"/>
      <c r="AI620" s="1441"/>
      <c r="AJ620" s="1441"/>
      <c r="AK620" s="1441"/>
      <c r="AL620" s="1441"/>
      <c r="AM620" s="1441"/>
      <c r="AN620" s="1441"/>
      <c r="AO620" s="1441"/>
      <c r="AP620" s="1441"/>
      <c r="AQ620" s="1441"/>
      <c r="AR620" s="1441"/>
      <c r="AS620" s="1441"/>
      <c r="AZ620" s="72"/>
      <c r="BA620" s="72"/>
      <c r="BB620" s="72"/>
      <c r="BC620" s="72"/>
      <c r="BD620" s="72"/>
      <c r="BE620" s="1839">
        <f t="shared" si="8"/>
        <v>0</v>
      </c>
      <c r="BF620" s="1841"/>
      <c r="BG620" s="1833">
        <f t="shared" si="6"/>
        <v>0</v>
      </c>
      <c r="BH620" s="1835"/>
      <c r="BI620" s="1839">
        <f t="shared" si="9"/>
        <v>0</v>
      </c>
      <c r="BJ620" s="1841"/>
      <c r="BK620" s="1833">
        <f t="shared" si="7"/>
        <v>0</v>
      </c>
      <c r="BL620" s="1835"/>
      <c r="BN620" s="1833">
        <f t="shared" si="0"/>
        <v>0</v>
      </c>
      <c r="BO620" s="1834"/>
      <c r="BP620" s="1834"/>
      <c r="BQ620" s="1834"/>
      <c r="BR620" s="1842"/>
      <c r="BS620" s="1833">
        <f t="shared" si="1"/>
        <v>0</v>
      </c>
      <c r="BT620" s="1834"/>
      <c r="BU620" s="1834"/>
      <c r="BV620" s="1834"/>
      <c r="BW620" s="1835"/>
      <c r="BX620" s="1833">
        <f t="shared" si="2"/>
        <v>0</v>
      </c>
      <c r="BY620" s="1834"/>
      <c r="BZ620" s="1834"/>
      <c r="CA620" s="1834"/>
      <c r="CB620" s="1835"/>
      <c r="CC620" s="1833">
        <f t="shared" si="3"/>
        <v>0</v>
      </c>
      <c r="CD620" s="1834"/>
      <c r="CE620" s="1834"/>
      <c r="CF620" s="1834"/>
      <c r="CG620" s="1835"/>
      <c r="CH620" s="1833">
        <f t="shared" si="4"/>
        <v>0</v>
      </c>
      <c r="CI620" s="1834"/>
      <c r="CJ620" s="1834"/>
      <c r="CK620" s="1834"/>
      <c r="CL620" s="1835"/>
      <c r="CM620" s="1833">
        <f t="shared" si="5"/>
        <v>0</v>
      </c>
      <c r="CN620" s="1834"/>
      <c r="CO620" s="1834"/>
      <c r="CP620" s="1834"/>
      <c r="CQ620" s="1835"/>
      <c r="CS620" s="1845">
        <f t="shared" si="10"/>
        <v>0</v>
      </c>
      <c r="CT620" s="1846"/>
      <c r="CU620" s="1846"/>
      <c r="CV620" s="1846"/>
      <c r="CW620" s="1847"/>
      <c r="CX620" s="1845">
        <f t="shared" si="11"/>
        <v>0</v>
      </c>
      <c r="CY620" s="1846"/>
      <c r="CZ620" s="1846"/>
      <c r="DA620" s="1846"/>
      <c r="DB620" s="1847"/>
      <c r="DC620" s="1845">
        <f t="shared" si="12"/>
        <v>0</v>
      </c>
      <c r="DD620" s="1846"/>
      <c r="DE620" s="1846"/>
      <c r="DF620" s="1846"/>
      <c r="DG620" s="1847"/>
      <c r="DH620" s="1845">
        <f t="shared" si="13"/>
        <v>0</v>
      </c>
      <c r="DI620" s="1846"/>
      <c r="DJ620" s="1846"/>
      <c r="DK620" s="1846"/>
      <c r="DL620" s="1847"/>
      <c r="DM620" s="1845">
        <f t="shared" si="14"/>
        <v>0</v>
      </c>
      <c r="DN620" s="1846"/>
      <c r="DO620" s="1846"/>
      <c r="DP620" s="1846"/>
      <c r="DQ620" s="1847"/>
      <c r="DR620" s="1845">
        <f t="shared" si="15"/>
        <v>0</v>
      </c>
      <c r="DS620" s="1846"/>
      <c r="DT620" s="1846"/>
      <c r="DU620" s="1846"/>
      <c r="DV620" s="1847"/>
    </row>
    <row r="621" spans="1:126" ht="13.2">
      <c r="A621" s="1441"/>
      <c r="B621" s="1441"/>
      <c r="C621" s="1441"/>
      <c r="D621" s="1441"/>
      <c r="E621" s="1441"/>
      <c r="F621" s="1441"/>
      <c r="G621" s="1441"/>
      <c r="H621" s="1441"/>
      <c r="I621" s="1441"/>
      <c r="J621" s="1441"/>
      <c r="K621" s="1441"/>
      <c r="L621" s="1441"/>
      <c r="M621" s="1441"/>
      <c r="N621" s="1441"/>
      <c r="O621" s="1441"/>
      <c r="P621" s="1441"/>
      <c r="Q621" s="1441"/>
      <c r="R621" s="1441"/>
      <c r="S621" s="1441"/>
      <c r="T621" s="1441"/>
      <c r="U621" s="1441"/>
      <c r="V621" s="1441"/>
      <c r="W621" s="1441"/>
      <c r="X621" s="1441"/>
      <c r="Y621" s="1441"/>
      <c r="Z621" s="1441"/>
      <c r="AA621" s="1441"/>
      <c r="AB621" s="1441"/>
      <c r="AC621" s="1441"/>
      <c r="AD621" s="1441"/>
      <c r="AE621" s="1441"/>
      <c r="AF621" s="1441"/>
      <c r="AG621" s="1441"/>
      <c r="AH621" s="1441"/>
      <c r="AI621" s="1441"/>
      <c r="AJ621" s="1441"/>
      <c r="AK621" s="1441"/>
      <c r="AL621" s="1441"/>
      <c r="AM621" s="1441"/>
      <c r="AN621" s="1441"/>
      <c r="AO621" s="1441"/>
      <c r="AP621" s="1441"/>
      <c r="AQ621" s="1441"/>
      <c r="AR621" s="1441"/>
      <c r="AS621" s="1441"/>
      <c r="AZ621" s="72"/>
      <c r="BA621" s="72"/>
      <c r="BB621" s="72"/>
      <c r="BC621" s="72"/>
      <c r="BD621" s="72"/>
      <c r="BE621" s="1839">
        <f t="shared" si="8"/>
        <v>0</v>
      </c>
      <c r="BF621" s="1841"/>
      <c r="BG621" s="1833">
        <f t="shared" si="6"/>
        <v>0</v>
      </c>
      <c r="BH621" s="1835"/>
      <c r="BI621" s="1839">
        <f t="shared" si="9"/>
        <v>0</v>
      </c>
      <c r="BJ621" s="1841"/>
      <c r="BK621" s="1833">
        <f t="shared" si="7"/>
        <v>0</v>
      </c>
      <c r="BL621" s="1835"/>
      <c r="BN621" s="1833">
        <f t="shared" si="0"/>
        <v>0</v>
      </c>
      <c r="BO621" s="1834"/>
      <c r="BP621" s="1834"/>
      <c r="BQ621" s="1834"/>
      <c r="BR621" s="1842"/>
      <c r="BS621" s="1833">
        <f t="shared" si="1"/>
        <v>0</v>
      </c>
      <c r="BT621" s="1834"/>
      <c r="BU621" s="1834"/>
      <c r="BV621" s="1834"/>
      <c r="BW621" s="1835"/>
      <c r="BX621" s="1833">
        <f t="shared" si="2"/>
        <v>0</v>
      </c>
      <c r="BY621" s="1834"/>
      <c r="BZ621" s="1834"/>
      <c r="CA621" s="1834"/>
      <c r="CB621" s="1835"/>
      <c r="CC621" s="1833">
        <f t="shared" si="3"/>
        <v>0</v>
      </c>
      <c r="CD621" s="1834"/>
      <c r="CE621" s="1834"/>
      <c r="CF621" s="1834"/>
      <c r="CG621" s="1835"/>
      <c r="CH621" s="1833">
        <f t="shared" si="4"/>
        <v>0</v>
      </c>
      <c r="CI621" s="1834"/>
      <c r="CJ621" s="1834"/>
      <c r="CK621" s="1834"/>
      <c r="CL621" s="1835"/>
      <c r="CM621" s="1833">
        <f t="shared" si="5"/>
        <v>0</v>
      </c>
      <c r="CN621" s="1834"/>
      <c r="CO621" s="1834"/>
      <c r="CP621" s="1834"/>
      <c r="CQ621" s="1835"/>
      <c r="CS621" s="1845">
        <f t="shared" si="10"/>
        <v>0</v>
      </c>
      <c r="CT621" s="1846"/>
      <c r="CU621" s="1846"/>
      <c r="CV621" s="1846"/>
      <c r="CW621" s="1847"/>
      <c r="CX621" s="1845">
        <f t="shared" si="11"/>
        <v>0</v>
      </c>
      <c r="CY621" s="1846"/>
      <c r="CZ621" s="1846"/>
      <c r="DA621" s="1846"/>
      <c r="DB621" s="1847"/>
      <c r="DC621" s="1845">
        <f t="shared" si="12"/>
        <v>0</v>
      </c>
      <c r="DD621" s="1846"/>
      <c r="DE621" s="1846"/>
      <c r="DF621" s="1846"/>
      <c r="DG621" s="1847"/>
      <c r="DH621" s="1845">
        <f t="shared" si="13"/>
        <v>0</v>
      </c>
      <c r="DI621" s="1846"/>
      <c r="DJ621" s="1846"/>
      <c r="DK621" s="1846"/>
      <c r="DL621" s="1847"/>
      <c r="DM621" s="1845">
        <f t="shared" si="14"/>
        <v>0</v>
      </c>
      <c r="DN621" s="1846"/>
      <c r="DO621" s="1846"/>
      <c r="DP621" s="1846"/>
      <c r="DQ621" s="1847"/>
      <c r="DR621" s="1845">
        <f t="shared" si="15"/>
        <v>0</v>
      </c>
      <c r="DS621" s="1846"/>
      <c r="DT621" s="1846"/>
      <c r="DU621" s="1846"/>
      <c r="DV621" s="1847"/>
    </row>
    <row r="622" spans="1:126" ht="13.2">
      <c r="A622" s="35"/>
      <c r="B622" s="35"/>
      <c r="C622" s="35"/>
      <c r="D622" s="35"/>
      <c r="E622" s="35"/>
      <c r="F622" s="35"/>
      <c r="G622" s="3"/>
      <c r="H622" s="35"/>
      <c r="AM622" s="50"/>
      <c r="AN622" s="50"/>
      <c r="AO622" s="50"/>
      <c r="AP622" s="50"/>
      <c r="AQ622" s="50"/>
      <c r="AR622" s="50"/>
      <c r="AS622" s="50"/>
      <c r="AZ622" s="72"/>
      <c r="BA622" s="72"/>
      <c r="BB622" s="72"/>
      <c r="BC622" s="72"/>
      <c r="BD622" s="72"/>
      <c r="BE622" s="1839">
        <f t="shared" si="8"/>
        <v>0</v>
      </c>
      <c r="BF622" s="1841"/>
      <c r="BG622" s="1833">
        <f t="shared" si="6"/>
        <v>0</v>
      </c>
      <c r="BH622" s="1835"/>
      <c r="BI622" s="1839">
        <f t="shared" si="9"/>
        <v>0</v>
      </c>
      <c r="BJ622" s="1841"/>
      <c r="BK622" s="1833">
        <f t="shared" si="7"/>
        <v>0</v>
      </c>
      <c r="BL622" s="1835"/>
      <c r="BN622" s="1833">
        <f t="shared" si="0"/>
        <v>0</v>
      </c>
      <c r="BO622" s="1834"/>
      <c r="BP622" s="1834"/>
      <c r="BQ622" s="1834"/>
      <c r="BR622" s="1842"/>
      <c r="BS622" s="1833">
        <f t="shared" si="1"/>
        <v>0</v>
      </c>
      <c r="BT622" s="1834"/>
      <c r="BU622" s="1834"/>
      <c r="BV622" s="1834"/>
      <c r="BW622" s="1835"/>
      <c r="BX622" s="1833">
        <f t="shared" si="2"/>
        <v>0</v>
      </c>
      <c r="BY622" s="1834"/>
      <c r="BZ622" s="1834"/>
      <c r="CA622" s="1834"/>
      <c r="CB622" s="1835"/>
      <c r="CC622" s="1833">
        <f t="shared" si="3"/>
        <v>0</v>
      </c>
      <c r="CD622" s="1834"/>
      <c r="CE622" s="1834"/>
      <c r="CF622" s="1834"/>
      <c r="CG622" s="1835"/>
      <c r="CH622" s="1833">
        <f t="shared" si="4"/>
        <v>0</v>
      </c>
      <c r="CI622" s="1834"/>
      <c r="CJ622" s="1834"/>
      <c r="CK622" s="1834"/>
      <c r="CL622" s="1835"/>
      <c r="CM622" s="1833">
        <f t="shared" si="5"/>
        <v>0</v>
      </c>
      <c r="CN622" s="1834"/>
      <c r="CO622" s="1834"/>
      <c r="CP622" s="1834"/>
      <c r="CQ622" s="1835"/>
      <c r="CS622" s="1845">
        <f t="shared" si="10"/>
        <v>0</v>
      </c>
      <c r="CT622" s="1846"/>
      <c r="CU622" s="1846"/>
      <c r="CV622" s="1846"/>
      <c r="CW622" s="1847"/>
      <c r="CX622" s="1845">
        <f t="shared" si="11"/>
        <v>0</v>
      </c>
      <c r="CY622" s="1846"/>
      <c r="CZ622" s="1846"/>
      <c r="DA622" s="1846"/>
      <c r="DB622" s="1847"/>
      <c r="DC622" s="1845">
        <f t="shared" si="12"/>
        <v>0</v>
      </c>
      <c r="DD622" s="1846"/>
      <c r="DE622" s="1846"/>
      <c r="DF622" s="1846"/>
      <c r="DG622" s="1847"/>
      <c r="DH622" s="1845">
        <f t="shared" si="13"/>
        <v>0</v>
      </c>
      <c r="DI622" s="1846"/>
      <c r="DJ622" s="1846"/>
      <c r="DK622" s="1846"/>
      <c r="DL622" s="1847"/>
      <c r="DM622" s="1845">
        <f t="shared" si="14"/>
        <v>0</v>
      </c>
      <c r="DN622" s="1846"/>
      <c r="DO622" s="1846"/>
      <c r="DP622" s="1846"/>
      <c r="DQ622" s="1847"/>
      <c r="DR622" s="1845">
        <f t="shared" si="15"/>
        <v>0</v>
      </c>
      <c r="DS622" s="1846"/>
      <c r="DT622" s="1846"/>
      <c r="DU622" s="1846"/>
      <c r="DV622" s="1847"/>
    </row>
    <row r="623" spans="1:126" ht="13.2">
      <c r="A623" s="63" t="s">
        <v>719</v>
      </c>
      <c r="B623" s="63"/>
      <c r="C623" s="63" t="s">
        <v>919</v>
      </c>
      <c r="AM623" s="50"/>
      <c r="AN623" s="50"/>
      <c r="AO623" s="50"/>
      <c r="AP623" s="50"/>
      <c r="AQ623" s="50"/>
      <c r="AR623" s="50"/>
      <c r="AS623" s="50"/>
      <c r="AZ623" s="72"/>
      <c r="BA623" s="72"/>
      <c r="BB623" s="72"/>
      <c r="BC623" s="72"/>
      <c r="BD623" s="72"/>
      <c r="BE623" s="1839">
        <f t="shared" si="8"/>
        <v>0</v>
      </c>
      <c r="BF623" s="1841"/>
      <c r="BG623" s="1833">
        <f t="shared" si="6"/>
        <v>0</v>
      </c>
      <c r="BH623" s="1835"/>
      <c r="BI623" s="1839">
        <f t="shared" si="9"/>
        <v>0</v>
      </c>
      <c r="BJ623" s="1841"/>
      <c r="BK623" s="1833">
        <f t="shared" si="7"/>
        <v>0</v>
      </c>
      <c r="BL623" s="1835"/>
      <c r="BN623" s="1833">
        <f t="shared" si="0"/>
        <v>0</v>
      </c>
      <c r="BO623" s="1834"/>
      <c r="BP623" s="1834"/>
      <c r="BQ623" s="1834"/>
      <c r="BR623" s="1842"/>
      <c r="BS623" s="1833">
        <f t="shared" si="1"/>
        <v>0</v>
      </c>
      <c r="BT623" s="1834"/>
      <c r="BU623" s="1834"/>
      <c r="BV623" s="1834"/>
      <c r="BW623" s="1835"/>
      <c r="BX623" s="1833">
        <f t="shared" si="2"/>
        <v>0</v>
      </c>
      <c r="BY623" s="1834"/>
      <c r="BZ623" s="1834"/>
      <c r="CA623" s="1834"/>
      <c r="CB623" s="1835"/>
      <c r="CC623" s="1833">
        <f t="shared" si="3"/>
        <v>0</v>
      </c>
      <c r="CD623" s="1834"/>
      <c r="CE623" s="1834"/>
      <c r="CF623" s="1834"/>
      <c r="CG623" s="1835"/>
      <c r="CH623" s="1833">
        <f t="shared" si="4"/>
        <v>0</v>
      </c>
      <c r="CI623" s="1834"/>
      <c r="CJ623" s="1834"/>
      <c r="CK623" s="1834"/>
      <c r="CL623" s="1835"/>
      <c r="CM623" s="1833">
        <f t="shared" si="5"/>
        <v>0</v>
      </c>
      <c r="CN623" s="1834"/>
      <c r="CO623" s="1834"/>
      <c r="CP623" s="1834"/>
      <c r="CQ623" s="1835"/>
      <c r="CS623" s="1845">
        <f t="shared" si="10"/>
        <v>0</v>
      </c>
      <c r="CT623" s="1846"/>
      <c r="CU623" s="1846"/>
      <c r="CV623" s="1846"/>
      <c r="CW623" s="1847"/>
      <c r="CX623" s="1845">
        <f t="shared" si="11"/>
        <v>0</v>
      </c>
      <c r="CY623" s="1846"/>
      <c r="CZ623" s="1846"/>
      <c r="DA623" s="1846"/>
      <c r="DB623" s="1847"/>
      <c r="DC623" s="1845">
        <f t="shared" si="12"/>
        <v>0</v>
      </c>
      <c r="DD623" s="1846"/>
      <c r="DE623" s="1846"/>
      <c r="DF623" s="1846"/>
      <c r="DG623" s="1847"/>
      <c r="DH623" s="1845">
        <f t="shared" si="13"/>
        <v>0</v>
      </c>
      <c r="DI623" s="1846"/>
      <c r="DJ623" s="1846"/>
      <c r="DK623" s="1846"/>
      <c r="DL623" s="1847"/>
      <c r="DM623" s="1845">
        <f t="shared" si="14"/>
        <v>0</v>
      </c>
      <c r="DN623" s="1846"/>
      <c r="DO623" s="1846"/>
      <c r="DP623" s="1846"/>
      <c r="DQ623" s="1847"/>
      <c r="DR623" s="1845">
        <f t="shared" si="15"/>
        <v>0</v>
      </c>
      <c r="DS623" s="1846"/>
      <c r="DT623" s="1846"/>
      <c r="DU623" s="1846"/>
      <c r="DV623" s="1847"/>
    </row>
    <row r="624" spans="1:126" ht="13.2">
      <c r="A624" s="63"/>
      <c r="B624" s="63"/>
      <c r="C624" s="63"/>
      <c r="AM624" s="50"/>
      <c r="AN624" s="50"/>
      <c r="AO624" s="50"/>
      <c r="AP624" s="50"/>
      <c r="AQ624" s="50"/>
      <c r="AR624" s="50"/>
      <c r="AS624" s="50"/>
      <c r="AZ624" s="72"/>
      <c r="BA624" s="72"/>
      <c r="BB624" s="72"/>
      <c r="BC624" s="72"/>
      <c r="BD624" s="72"/>
      <c r="BE624" s="1839">
        <f t="shared" si="8"/>
        <v>0</v>
      </c>
      <c r="BF624" s="1841"/>
      <c r="BG624" s="1833">
        <f t="shared" si="6"/>
        <v>0</v>
      </c>
      <c r="BH624" s="1835"/>
      <c r="BI624" s="1839">
        <f t="shared" si="9"/>
        <v>0</v>
      </c>
      <c r="BJ624" s="1841"/>
      <c r="BK624" s="1833">
        <f t="shared" si="7"/>
        <v>0</v>
      </c>
      <c r="BL624" s="1835"/>
      <c r="BN624" s="1833">
        <f t="shared" si="0"/>
        <v>0</v>
      </c>
      <c r="BO624" s="1834"/>
      <c r="BP624" s="1834"/>
      <c r="BQ624" s="1834"/>
      <c r="BR624" s="1842"/>
      <c r="BS624" s="1833">
        <f t="shared" si="1"/>
        <v>0</v>
      </c>
      <c r="BT624" s="1834"/>
      <c r="BU624" s="1834"/>
      <c r="BV624" s="1834"/>
      <c r="BW624" s="1835"/>
      <c r="BX624" s="1833">
        <f t="shared" si="2"/>
        <v>0</v>
      </c>
      <c r="BY624" s="1834"/>
      <c r="BZ624" s="1834"/>
      <c r="CA624" s="1834"/>
      <c r="CB624" s="1835"/>
      <c r="CC624" s="1833">
        <f t="shared" si="3"/>
        <v>0</v>
      </c>
      <c r="CD624" s="1834"/>
      <c r="CE624" s="1834"/>
      <c r="CF624" s="1834"/>
      <c r="CG624" s="1835"/>
      <c r="CH624" s="1833">
        <f t="shared" si="4"/>
        <v>0</v>
      </c>
      <c r="CI624" s="1834"/>
      <c r="CJ624" s="1834"/>
      <c r="CK624" s="1834"/>
      <c r="CL624" s="1835"/>
      <c r="CM624" s="1833">
        <f t="shared" si="5"/>
        <v>0</v>
      </c>
      <c r="CN624" s="1834"/>
      <c r="CO624" s="1834"/>
      <c r="CP624" s="1834"/>
      <c r="CQ624" s="1835"/>
      <c r="CS624" s="1845">
        <f t="shared" si="10"/>
        <v>0</v>
      </c>
      <c r="CT624" s="1846"/>
      <c r="CU624" s="1846"/>
      <c r="CV624" s="1846"/>
      <c r="CW624" s="1847"/>
      <c r="CX624" s="1845">
        <f t="shared" si="11"/>
        <v>0</v>
      </c>
      <c r="CY624" s="1846"/>
      <c r="CZ624" s="1846"/>
      <c r="DA624" s="1846"/>
      <c r="DB624" s="1847"/>
      <c r="DC624" s="1845">
        <f t="shared" si="12"/>
        <v>0</v>
      </c>
      <c r="DD624" s="1846"/>
      <c r="DE624" s="1846"/>
      <c r="DF624" s="1846"/>
      <c r="DG624" s="1847"/>
      <c r="DH624" s="1845">
        <f t="shared" si="13"/>
        <v>0</v>
      </c>
      <c r="DI624" s="1846"/>
      <c r="DJ624" s="1846"/>
      <c r="DK624" s="1846"/>
      <c r="DL624" s="1847"/>
      <c r="DM624" s="1845">
        <f t="shared" si="14"/>
        <v>0</v>
      </c>
      <c r="DN624" s="1846"/>
      <c r="DO624" s="1846"/>
      <c r="DP624" s="1846"/>
      <c r="DQ624" s="1847"/>
      <c r="DR624" s="1845">
        <f t="shared" si="15"/>
        <v>0</v>
      </c>
      <c r="DS624" s="1846"/>
      <c r="DT624" s="1846"/>
      <c r="DU624" s="1846"/>
      <c r="DV624" s="1847"/>
    </row>
    <row r="625" spans="1:126" ht="13.2">
      <c r="C625" s="62" t="s">
        <v>2288</v>
      </c>
      <c r="D625" s="35"/>
      <c r="E625" s="35"/>
      <c r="F625" s="35"/>
      <c r="G625" s="35"/>
      <c r="H625" s="35"/>
      <c r="I625" s="35"/>
      <c r="J625" s="35"/>
      <c r="K625" s="35"/>
      <c r="L625" s="35"/>
      <c r="M625" s="35"/>
      <c r="N625" s="35"/>
      <c r="O625" s="35"/>
      <c r="P625" s="35"/>
      <c r="Q625" s="35"/>
      <c r="R625" s="35"/>
      <c r="S625" s="35"/>
      <c r="T625" s="35"/>
      <c r="U625" s="35"/>
      <c r="V625" s="35"/>
      <c r="W625" s="35"/>
      <c r="X625" s="35"/>
      <c r="Y625" s="35"/>
      <c r="Z625" s="35"/>
      <c r="AA625" s="35"/>
      <c r="AB625" s="35"/>
      <c r="AC625" s="35"/>
      <c r="AD625" s="35"/>
      <c r="AE625" s="35"/>
      <c r="AF625" s="35"/>
      <c r="AG625" s="35"/>
      <c r="AM625" s="50"/>
      <c r="AN625" s="50"/>
      <c r="AO625" s="50"/>
      <c r="AP625" s="50"/>
      <c r="AQ625" s="50"/>
      <c r="AR625" s="50"/>
      <c r="AS625" s="50"/>
      <c r="AZ625" s="72"/>
      <c r="BA625" s="72"/>
      <c r="BB625" s="72"/>
      <c r="BC625" s="72"/>
      <c r="BD625" s="72"/>
      <c r="BE625" s="1839">
        <f t="shared" si="8"/>
        <v>0</v>
      </c>
      <c r="BF625" s="1841"/>
      <c r="BG625" s="1833">
        <f t="shared" si="6"/>
        <v>0</v>
      </c>
      <c r="BH625" s="1835"/>
      <c r="BI625" s="1839">
        <f t="shared" si="9"/>
        <v>0</v>
      </c>
      <c r="BJ625" s="1841"/>
      <c r="BK625" s="1833">
        <f t="shared" si="7"/>
        <v>0</v>
      </c>
      <c r="BL625" s="1835"/>
      <c r="BN625" s="1839">
        <f>SUM(BN600:BR624)</f>
        <v>15</v>
      </c>
      <c r="BO625" s="1840"/>
      <c r="BP625" s="1840"/>
      <c r="BQ625" s="1840"/>
      <c r="BR625" s="1841"/>
      <c r="BS625" s="1839">
        <f>SUM(BS600:BW624)</f>
        <v>12</v>
      </c>
      <c r="BT625" s="1840"/>
      <c r="BU625" s="1840"/>
      <c r="BV625" s="1840"/>
      <c r="BW625" s="1841"/>
      <c r="BX625" s="1839">
        <f>SUM(BX600:CB624)</f>
        <v>8</v>
      </c>
      <c r="BY625" s="1840"/>
      <c r="BZ625" s="1840"/>
      <c r="CA625" s="1840"/>
      <c r="CB625" s="1841"/>
      <c r="CC625" s="1839">
        <f>SUM(CC600:CG624)</f>
        <v>5</v>
      </c>
      <c r="CD625" s="1840"/>
      <c r="CE625" s="1840"/>
      <c r="CF625" s="1840"/>
      <c r="CG625" s="1841"/>
      <c r="CH625" s="1839">
        <f>SUM(CH600:CL624)</f>
        <v>0</v>
      </c>
      <c r="CI625" s="1840"/>
      <c r="CJ625" s="1840"/>
      <c r="CK625" s="1840"/>
      <c r="CL625" s="1841"/>
      <c r="CM625" s="1839">
        <f>SUM(CM600:CQ624)</f>
        <v>0</v>
      </c>
      <c r="CN625" s="1840"/>
      <c r="CO625" s="1840"/>
      <c r="CP625" s="1840"/>
      <c r="CQ625" s="1841"/>
      <c r="CS625" s="1845">
        <f t="shared" si="10"/>
        <v>0</v>
      </c>
      <c r="CT625" s="1846"/>
      <c r="CU625" s="1846"/>
      <c r="CV625" s="1846"/>
      <c r="CW625" s="1847"/>
      <c r="CX625" s="1845">
        <f t="shared" si="11"/>
        <v>0</v>
      </c>
      <c r="CY625" s="1846"/>
      <c r="CZ625" s="1846"/>
      <c r="DA625" s="1846"/>
      <c r="DB625" s="1847"/>
      <c r="DC625" s="1845">
        <f t="shared" si="12"/>
        <v>0</v>
      </c>
      <c r="DD625" s="1846"/>
      <c r="DE625" s="1846"/>
      <c r="DF625" s="1846"/>
      <c r="DG625" s="1847"/>
      <c r="DH625" s="1845">
        <f t="shared" si="13"/>
        <v>0</v>
      </c>
      <c r="DI625" s="1846"/>
      <c r="DJ625" s="1846"/>
      <c r="DK625" s="1846"/>
      <c r="DL625" s="1847"/>
      <c r="DM625" s="1845">
        <f t="shared" si="14"/>
        <v>0</v>
      </c>
      <c r="DN625" s="1846"/>
      <c r="DO625" s="1846"/>
      <c r="DP625" s="1846"/>
      <c r="DQ625" s="1847"/>
      <c r="DR625" s="1845">
        <f t="shared" si="15"/>
        <v>0</v>
      </c>
      <c r="DS625" s="1846"/>
      <c r="DT625" s="1846"/>
      <c r="DU625" s="1846"/>
      <c r="DV625" s="1847"/>
    </row>
    <row r="626" spans="1:126" ht="13.8" thickBot="1">
      <c r="B626" s="1442"/>
      <c r="C626" s="62"/>
      <c r="D626" s="35"/>
      <c r="E626" s="35"/>
      <c r="F626" s="35"/>
      <c r="G626" s="35"/>
      <c r="H626" s="35"/>
      <c r="I626" s="35"/>
      <c r="J626" s="35"/>
      <c r="K626" s="35"/>
      <c r="L626" s="35"/>
      <c r="M626" s="35"/>
      <c r="N626" s="35"/>
      <c r="O626" s="35"/>
      <c r="P626" s="35"/>
      <c r="Q626" s="35"/>
      <c r="R626" s="35"/>
      <c r="S626" s="35"/>
      <c r="T626" s="35"/>
      <c r="U626" s="35"/>
      <c r="V626" s="35"/>
      <c r="W626" s="35"/>
      <c r="X626" s="35"/>
      <c r="Y626" s="35"/>
      <c r="Z626" s="35"/>
      <c r="AA626" s="35"/>
      <c r="AB626" s="35"/>
      <c r="AC626" s="35"/>
      <c r="AD626" s="35"/>
      <c r="AE626" s="35"/>
      <c r="AF626" s="35"/>
      <c r="AG626" s="35"/>
      <c r="AM626" s="50"/>
      <c r="AN626" s="50"/>
      <c r="AO626" s="50"/>
      <c r="AP626" s="50"/>
      <c r="AQ626" s="50"/>
      <c r="AR626" s="50"/>
      <c r="AS626" s="50"/>
      <c r="AZ626" s="72"/>
      <c r="BA626" s="72"/>
      <c r="BB626" s="72"/>
      <c r="BC626" s="72"/>
      <c r="BD626" s="72"/>
      <c r="BE626" s="72"/>
      <c r="BF626" s="72"/>
      <c r="BG626" s="1839">
        <f>SUM(BG601:BH625)</f>
        <v>14</v>
      </c>
      <c r="BH626" s="1841"/>
      <c r="BI626" s="72"/>
      <c r="BJ626" s="72"/>
      <c r="BK626" s="1839">
        <f>SUM(BK601:BL625)</f>
        <v>22</v>
      </c>
      <c r="BL626" s="1841"/>
      <c r="BN626" s="72" t="s">
        <v>1945</v>
      </c>
      <c r="BO626" s="72"/>
      <c r="BP626" s="72"/>
      <c r="BQ626" s="72"/>
      <c r="BR626" s="737">
        <f>BN625*1</f>
        <v>15</v>
      </c>
      <c r="BS626" s="72"/>
      <c r="BT626" s="72"/>
      <c r="BU626" s="72"/>
      <c r="BV626" s="72"/>
      <c r="BW626" s="737">
        <f>BS625*1</f>
        <v>12</v>
      </c>
      <c r="BX626" s="72"/>
      <c r="BY626" s="72"/>
      <c r="BZ626" s="72"/>
      <c r="CA626" s="72"/>
      <c r="CB626" s="737">
        <f>BX625*2</f>
        <v>16</v>
      </c>
      <c r="CC626" s="72"/>
      <c r="CD626" s="72"/>
      <c r="CE626" s="72"/>
      <c r="CF626" s="72"/>
      <c r="CG626" s="737">
        <f>CC625*3</f>
        <v>15</v>
      </c>
      <c r="CH626" s="72"/>
      <c r="CI626" s="72"/>
      <c r="CJ626" s="72"/>
      <c r="CK626" s="72"/>
      <c r="CL626" s="737">
        <f>CH625*4</f>
        <v>0</v>
      </c>
      <c r="CM626" s="72"/>
      <c r="CN626" s="72"/>
      <c r="CO626" s="72"/>
      <c r="CP626" s="72"/>
      <c r="CQ626" s="736">
        <f>CM625*5</f>
        <v>0</v>
      </c>
      <c r="CS626" s="1839">
        <f>SUM(CS601:CW625)</f>
        <v>15</v>
      </c>
      <c r="CT626" s="1840"/>
      <c r="CU626" s="1840"/>
      <c r="CV626" s="1840"/>
      <c r="CW626" s="1841"/>
      <c r="CX626" s="1839">
        <f>SUM(CX601:DB625)</f>
        <v>5</v>
      </c>
      <c r="CY626" s="1840"/>
      <c r="CZ626" s="1840"/>
      <c r="DA626" s="1840"/>
      <c r="DB626" s="1841"/>
      <c r="DC626" s="1839">
        <f>SUM(DC601:DG625)</f>
        <v>1</v>
      </c>
      <c r="DD626" s="1840"/>
      <c r="DE626" s="1840"/>
      <c r="DF626" s="1840"/>
      <c r="DG626" s="1841"/>
      <c r="DH626" s="1839">
        <f>SUM(DH601:DL625)</f>
        <v>1</v>
      </c>
      <c r="DI626" s="1840"/>
      <c r="DJ626" s="1840"/>
      <c r="DK626" s="1840"/>
      <c r="DL626" s="1841"/>
      <c r="DM626" s="1839">
        <f>SUM(DM601:DQ625)</f>
        <v>0</v>
      </c>
      <c r="DN626" s="1840"/>
      <c r="DO626" s="1840"/>
      <c r="DP626" s="1840"/>
      <c r="DQ626" s="1841"/>
      <c r="DR626" s="1839">
        <f>SUM(DR601:DV625)</f>
        <v>0</v>
      </c>
      <c r="DS626" s="1840"/>
      <c r="DT626" s="1840"/>
      <c r="DU626" s="1840"/>
      <c r="DV626" s="1841"/>
    </row>
    <row r="627" spans="1:126" ht="13.5" customHeight="1" thickBot="1">
      <c r="A627" s="1396"/>
      <c r="B627" s="2018" t="s">
        <v>807</v>
      </c>
      <c r="C627" s="2019"/>
      <c r="D627" s="2019"/>
      <c r="E627" s="2019"/>
      <c r="F627" s="2019"/>
      <c r="G627" s="2019"/>
      <c r="H627" s="2019"/>
      <c r="I627" s="2019"/>
      <c r="J627" s="2019"/>
      <c r="K627" s="2019"/>
      <c r="L627" s="2019"/>
      <c r="M627" s="2019"/>
      <c r="N627" s="2020"/>
      <c r="O627" s="2022" t="s">
        <v>489</v>
      </c>
      <c r="P627" s="1947"/>
      <c r="Q627" s="1948"/>
      <c r="R627" s="2022" t="s">
        <v>2289</v>
      </c>
      <c r="S627" s="1947"/>
      <c r="T627" s="1948"/>
      <c r="U627" s="2039" t="s">
        <v>808</v>
      </c>
      <c r="V627" s="2039"/>
      <c r="W627" s="2040"/>
      <c r="X627" s="2022" t="s">
        <v>2290</v>
      </c>
      <c r="Y627" s="1947"/>
      <c r="Z627" s="1947"/>
      <c r="AA627" s="1947"/>
      <c r="AB627" s="1948"/>
      <c r="AC627" s="2045" t="s">
        <v>2291</v>
      </c>
      <c r="AD627" s="2046"/>
      <c r="AE627" s="2047"/>
      <c r="AF627" s="2022" t="s">
        <v>2292</v>
      </c>
      <c r="AG627" s="1947"/>
      <c r="AH627" s="1947"/>
      <c r="AI627" s="1947"/>
      <c r="AJ627" s="1948"/>
      <c r="AK627" s="2054" t="s">
        <v>2293</v>
      </c>
      <c r="AL627" s="2055"/>
      <c r="AM627" s="2055"/>
      <c r="AN627" s="2056"/>
      <c r="AO627" s="1832" t="s">
        <v>809</v>
      </c>
      <c r="AP627" s="1832"/>
      <c r="AQ627" s="1832"/>
      <c r="AR627" s="1832"/>
      <c r="AS627" s="1832"/>
      <c r="AT627" s="72"/>
      <c r="AU627" s="72"/>
      <c r="AV627" s="72"/>
      <c r="AW627" s="72"/>
      <c r="AX627" s="72"/>
      <c r="AY627" s="72"/>
      <c r="AZ627" s="72"/>
      <c r="BN627" s="72" t="s">
        <v>948</v>
      </c>
      <c r="BO627" s="72"/>
      <c r="BP627" s="72"/>
      <c r="BQ627" s="72"/>
      <c r="BR627" s="72"/>
      <c r="BS627" s="72"/>
      <c r="BT627" s="72"/>
      <c r="BU627" s="72"/>
      <c r="BV627" s="72"/>
      <c r="BW627" s="72"/>
      <c r="BX627" s="72"/>
      <c r="BY627" s="72"/>
      <c r="BZ627" s="72"/>
      <c r="CA627" s="72"/>
      <c r="CB627" s="72"/>
      <c r="CC627" s="72"/>
      <c r="CD627" s="72"/>
      <c r="CE627" s="72"/>
      <c r="CF627" s="72"/>
      <c r="CG627" s="72"/>
      <c r="CH627" s="72"/>
      <c r="CI627" s="72"/>
      <c r="CJ627" s="72"/>
      <c r="CK627" s="72"/>
      <c r="CL627" s="72"/>
      <c r="CM627" s="72"/>
      <c r="CN627" s="72"/>
      <c r="CO627" s="72"/>
      <c r="CP627" s="1404" t="s">
        <v>1946</v>
      </c>
      <c r="CQ627" s="738">
        <f>BR626+BW626+CB626+CG626+CL626+CQ626</f>
        <v>58</v>
      </c>
      <c r="CR627" s="72"/>
      <c r="CS627" s="72"/>
    </row>
    <row r="628" spans="1:126" ht="13.2">
      <c r="A628" s="1396"/>
      <c r="B628" s="2035"/>
      <c r="C628" s="2036"/>
      <c r="D628" s="2036"/>
      <c r="E628" s="2036"/>
      <c r="F628" s="2036"/>
      <c r="G628" s="2036"/>
      <c r="H628" s="2036"/>
      <c r="I628" s="2036"/>
      <c r="J628" s="2036"/>
      <c r="K628" s="2036"/>
      <c r="L628" s="2036"/>
      <c r="M628" s="2036"/>
      <c r="N628" s="2037"/>
      <c r="O628" s="2023"/>
      <c r="P628" s="2024"/>
      <c r="Q628" s="2025"/>
      <c r="R628" s="2023"/>
      <c r="S628" s="2024"/>
      <c r="T628" s="2025"/>
      <c r="U628" s="2041"/>
      <c r="V628" s="2041"/>
      <c r="W628" s="2042"/>
      <c r="X628" s="2023"/>
      <c r="Y628" s="2024"/>
      <c r="Z628" s="2024"/>
      <c r="AA628" s="2024"/>
      <c r="AB628" s="2025"/>
      <c r="AC628" s="2048"/>
      <c r="AD628" s="2049"/>
      <c r="AE628" s="2050"/>
      <c r="AF628" s="2023"/>
      <c r="AG628" s="2024"/>
      <c r="AH628" s="2024"/>
      <c r="AI628" s="2024"/>
      <c r="AJ628" s="2025"/>
      <c r="AK628" s="2057"/>
      <c r="AL628" s="2058"/>
      <c r="AM628" s="2058"/>
      <c r="AN628" s="2059"/>
      <c r="AO628" s="1832"/>
      <c r="AP628" s="1832"/>
      <c r="AQ628" s="1832"/>
      <c r="AR628" s="1832"/>
      <c r="AS628" s="1832"/>
      <c r="AT628" s="72"/>
      <c r="AU628" s="72"/>
      <c r="AV628" s="72"/>
      <c r="AW628" s="72"/>
      <c r="AX628" s="72"/>
      <c r="AY628" s="72"/>
      <c r="AZ628" s="72"/>
      <c r="BN628" s="1833">
        <f>IF(J750="SRO/Studio",O750,0)</f>
        <v>0</v>
      </c>
      <c r="BO628" s="1834"/>
      <c r="BP628" s="1834"/>
      <c r="BQ628" s="1834"/>
      <c r="BR628" s="1835"/>
      <c r="BS628" s="1833">
        <f>IF(J750="1 Bedroom",O750,0)</f>
        <v>0</v>
      </c>
      <c r="BT628" s="1834"/>
      <c r="BU628" s="1834"/>
      <c r="BV628" s="1834"/>
      <c r="BW628" s="1835"/>
      <c r="BX628" s="1833">
        <f>IF(J750="2 Bedrooms",O750,0)</f>
        <v>0</v>
      </c>
      <c r="BY628" s="1834"/>
      <c r="BZ628" s="1834"/>
      <c r="CA628" s="1834"/>
      <c r="CB628" s="1835"/>
      <c r="CC628" s="1833">
        <f>IF(J750="3 Bedrooms",O750,0)</f>
        <v>1</v>
      </c>
      <c r="CD628" s="1834"/>
      <c r="CE628" s="1834"/>
      <c r="CF628" s="1834"/>
      <c r="CG628" s="1835"/>
      <c r="CH628" s="1833">
        <f>IF(J750="4 Bedrooms",O750,0)</f>
        <v>0</v>
      </c>
      <c r="CI628" s="1834"/>
      <c r="CJ628" s="1834"/>
      <c r="CK628" s="1834"/>
      <c r="CL628" s="1835"/>
      <c r="CM628" s="1843">
        <f>IF(J750="5 Bedrooms",O750,0)</f>
        <v>0</v>
      </c>
      <c r="CN628" s="1844"/>
      <c r="CO628" s="1844"/>
      <c r="CP628" s="1844"/>
      <c r="CQ628" s="1842"/>
      <c r="CR628" s="72"/>
      <c r="CS628" s="72"/>
    </row>
    <row r="629" spans="1:126" ht="12.75" customHeight="1">
      <c r="A629" s="1396"/>
      <c r="B629" s="2038"/>
      <c r="C629" s="2036"/>
      <c r="D629" s="2036"/>
      <c r="E629" s="2036"/>
      <c r="F629" s="2036"/>
      <c r="G629" s="2036"/>
      <c r="H629" s="2036"/>
      <c r="I629" s="2036"/>
      <c r="J629" s="2036"/>
      <c r="K629" s="2036"/>
      <c r="L629" s="2036"/>
      <c r="M629" s="2036"/>
      <c r="N629" s="2037"/>
      <c r="O629" s="2026"/>
      <c r="P629" s="2027"/>
      <c r="Q629" s="2028"/>
      <c r="R629" s="2026"/>
      <c r="S629" s="2027"/>
      <c r="T629" s="2028"/>
      <c r="U629" s="2043"/>
      <c r="V629" s="2043"/>
      <c r="W629" s="2044"/>
      <c r="X629" s="2026"/>
      <c r="Y629" s="2027"/>
      <c r="Z629" s="2027"/>
      <c r="AA629" s="2027"/>
      <c r="AB629" s="2028"/>
      <c r="AC629" s="2051"/>
      <c r="AD629" s="2052"/>
      <c r="AE629" s="2053"/>
      <c r="AF629" s="2026"/>
      <c r="AG629" s="2027"/>
      <c r="AH629" s="2027"/>
      <c r="AI629" s="2027"/>
      <c r="AJ629" s="2028"/>
      <c r="AK629" s="2060"/>
      <c r="AL629" s="2061"/>
      <c r="AM629" s="2061"/>
      <c r="AN629" s="2062"/>
      <c r="AO629" s="1832"/>
      <c r="AP629" s="1832"/>
      <c r="AQ629" s="1832"/>
      <c r="AR629" s="1832"/>
      <c r="AS629" s="1832"/>
      <c r="AT629" s="75"/>
      <c r="AU629" s="75"/>
      <c r="AV629" s="75"/>
      <c r="AW629" s="75"/>
      <c r="AX629" s="75"/>
      <c r="AY629" s="75"/>
      <c r="AZ629" s="75"/>
      <c r="BN629" s="1833">
        <f>IF(J751="SRO/Studio",O751,0)</f>
        <v>0</v>
      </c>
      <c r="BO629" s="1834"/>
      <c r="BP629" s="1834"/>
      <c r="BQ629" s="1834"/>
      <c r="BR629" s="1835"/>
      <c r="BS629" s="1833">
        <f>IF(J751="1 Bedroom",O751,0)</f>
        <v>0</v>
      </c>
      <c r="BT629" s="1834"/>
      <c r="BU629" s="1834"/>
      <c r="BV629" s="1834"/>
      <c r="BW629" s="1835"/>
      <c r="BX629" s="1833">
        <f>IF(J751="2 Bedrooms",O751,0)</f>
        <v>0</v>
      </c>
      <c r="BY629" s="1834"/>
      <c r="BZ629" s="1834"/>
      <c r="CA629" s="1834"/>
      <c r="CB629" s="1835"/>
      <c r="CC629" s="1833">
        <f>IF(J751="3 Bedrooms",O751,0)</f>
        <v>0</v>
      </c>
      <c r="CD629" s="1834"/>
      <c r="CE629" s="1834"/>
      <c r="CF629" s="1834"/>
      <c r="CG629" s="1835"/>
      <c r="CH629" s="1833">
        <f>IF(J751="4 Bedrooms",O751,0)</f>
        <v>0</v>
      </c>
      <c r="CI629" s="1834"/>
      <c r="CJ629" s="1834"/>
      <c r="CK629" s="1834"/>
      <c r="CL629" s="1835"/>
      <c r="CM629" s="1843">
        <f>IF(J751="5 Bedrooms",O751,0)</f>
        <v>0</v>
      </c>
      <c r="CN629" s="1844"/>
      <c r="CO629" s="1844"/>
      <c r="CP629" s="1844"/>
      <c r="CQ629" s="1842"/>
      <c r="CR629" s="72"/>
      <c r="CS629" s="72"/>
    </row>
    <row r="630" spans="1:126" ht="12.75" customHeight="1">
      <c r="B630" s="97" t="s">
        <v>1004</v>
      </c>
      <c r="C630" s="1797" t="s">
        <v>2414</v>
      </c>
      <c r="D630" s="1797"/>
      <c r="E630" s="1797"/>
      <c r="F630" s="1797"/>
      <c r="G630" s="1797"/>
      <c r="H630" s="1797"/>
      <c r="I630" s="1797"/>
      <c r="J630" s="1797"/>
      <c r="K630" s="1797"/>
      <c r="L630" s="1797"/>
      <c r="M630" s="1797"/>
      <c r="N630" s="1798"/>
      <c r="O630" s="1799">
        <v>660</v>
      </c>
      <c r="P630" s="1800"/>
      <c r="Q630" s="1801"/>
      <c r="R630" s="1802"/>
      <c r="S630" s="1803"/>
      <c r="T630" s="1804"/>
      <c r="U630" s="1805">
        <f>W559</f>
        <v>0.02</v>
      </c>
      <c r="V630" s="1806"/>
      <c r="W630" s="1807"/>
      <c r="X630" s="1808" t="s">
        <v>864</v>
      </c>
      <c r="Y630" s="1809"/>
      <c r="Z630" s="1809"/>
      <c r="AA630" s="1809"/>
      <c r="AB630" s="1810"/>
      <c r="AC630" s="1811">
        <v>2</v>
      </c>
      <c r="AD630" s="1812"/>
      <c r="AE630" s="1813"/>
      <c r="AF630" s="1746"/>
      <c r="AG630" s="1747"/>
      <c r="AH630" s="1747"/>
      <c r="AI630" s="1747"/>
      <c r="AJ630" s="1748"/>
      <c r="AK630" s="1814"/>
      <c r="AL630" s="1815"/>
      <c r="AM630" s="1815"/>
      <c r="AN630" s="1816"/>
      <c r="AO630" s="1774">
        <v>1633112</v>
      </c>
      <c r="AP630" s="1774"/>
      <c r="AQ630" s="1774"/>
      <c r="AR630" s="1774"/>
      <c r="AS630" s="1774"/>
      <c r="AU630" s="75"/>
      <c r="AV630" s="75"/>
      <c r="AW630" s="75"/>
      <c r="AX630" s="75"/>
      <c r="AY630" s="75"/>
      <c r="BA630" s="72" t="s">
        <v>2275</v>
      </c>
      <c r="BC630" s="75"/>
      <c r="BD630" s="75"/>
      <c r="BN630" s="1833">
        <f>IF(J752="SRO/Studio",O752,0)</f>
        <v>0</v>
      </c>
      <c r="BO630" s="1834"/>
      <c r="BP630" s="1834"/>
      <c r="BQ630" s="1834"/>
      <c r="BR630" s="1835"/>
      <c r="BS630" s="1833">
        <f>IF(J752="1 Bedroom",O752,0)</f>
        <v>0</v>
      </c>
      <c r="BT630" s="1834"/>
      <c r="BU630" s="1834"/>
      <c r="BV630" s="1834"/>
      <c r="BW630" s="1835"/>
      <c r="BX630" s="1833">
        <f>IF(J752="2 Bedrooms",O752,0)</f>
        <v>0</v>
      </c>
      <c r="BY630" s="1834"/>
      <c r="BZ630" s="1834"/>
      <c r="CA630" s="1834"/>
      <c r="CB630" s="1835"/>
      <c r="CC630" s="1833">
        <f>IF(J752="3 Bedrooms",O752,0)</f>
        <v>0</v>
      </c>
      <c r="CD630" s="1834"/>
      <c r="CE630" s="1834"/>
      <c r="CF630" s="1834"/>
      <c r="CG630" s="1835"/>
      <c r="CH630" s="1833">
        <f>IF(J752="4 Bedrooms",O752,0)</f>
        <v>0</v>
      </c>
      <c r="CI630" s="1834"/>
      <c r="CJ630" s="1834"/>
      <c r="CK630" s="1834"/>
      <c r="CL630" s="1835"/>
      <c r="CM630" s="1843">
        <f>IF(J752="5 Bedrooms",O752,0)</f>
        <v>0</v>
      </c>
      <c r="CN630" s="1844"/>
      <c r="CO630" s="1844"/>
      <c r="CP630" s="1844"/>
      <c r="CQ630" s="1842"/>
      <c r="CR630" s="72"/>
      <c r="CS630" s="72"/>
    </row>
    <row r="631" spans="1:126" ht="13.2">
      <c r="B631" s="98" t="s">
        <v>1005</v>
      </c>
      <c r="C631" s="1797"/>
      <c r="D631" s="1797"/>
      <c r="E631" s="1797"/>
      <c r="F631" s="1797"/>
      <c r="G631" s="1797"/>
      <c r="H631" s="1797"/>
      <c r="I631" s="1797"/>
      <c r="J631" s="1797"/>
      <c r="K631" s="1797"/>
      <c r="L631" s="1797"/>
      <c r="M631" s="1797"/>
      <c r="N631" s="1798"/>
      <c r="O631" s="1799"/>
      <c r="P631" s="1800"/>
      <c r="Q631" s="1801"/>
      <c r="R631" s="1802"/>
      <c r="S631" s="1803"/>
      <c r="T631" s="1804"/>
      <c r="U631" s="1805"/>
      <c r="V631" s="1806"/>
      <c r="W631" s="1807"/>
      <c r="X631" s="1808" t="s">
        <v>548</v>
      </c>
      <c r="Y631" s="1809"/>
      <c r="Z631" s="1809"/>
      <c r="AA631" s="1809"/>
      <c r="AB631" s="1810"/>
      <c r="AC631" s="1811"/>
      <c r="AD631" s="1812"/>
      <c r="AE631" s="1813"/>
      <c r="AF631" s="1746"/>
      <c r="AG631" s="1747"/>
      <c r="AH631" s="1747"/>
      <c r="AI631" s="1747"/>
      <c r="AJ631" s="1748"/>
      <c r="AK631" s="1814"/>
      <c r="AL631" s="1815"/>
      <c r="AM631" s="1815"/>
      <c r="AN631" s="1816"/>
      <c r="AO631" s="1774"/>
      <c r="AP631" s="1774"/>
      <c r="AQ631" s="1774"/>
      <c r="AR631" s="1774"/>
      <c r="AS631" s="1774"/>
      <c r="AU631" s="75"/>
      <c r="AV631" s="75"/>
      <c r="AW631" s="75"/>
      <c r="AX631" s="75"/>
      <c r="AY631" s="75"/>
      <c r="BA631" s="72" t="s">
        <v>865</v>
      </c>
      <c r="BC631" s="75"/>
      <c r="BD631" s="75"/>
      <c r="BN631" s="1833">
        <f>IF(J753="SRO/Studio",O753,0)</f>
        <v>0</v>
      </c>
      <c r="BO631" s="1834"/>
      <c r="BP631" s="1834"/>
      <c r="BQ631" s="1834"/>
      <c r="BR631" s="1835"/>
      <c r="BS631" s="1833">
        <f>IF(J753="1 Bedroom",O753,0)</f>
        <v>0</v>
      </c>
      <c r="BT631" s="1834"/>
      <c r="BU631" s="1834"/>
      <c r="BV631" s="1834"/>
      <c r="BW631" s="1835"/>
      <c r="BX631" s="1833">
        <f>IF(J753="2 Bedrooms",O753,0)</f>
        <v>0</v>
      </c>
      <c r="BY631" s="1834"/>
      <c r="BZ631" s="1834"/>
      <c r="CA631" s="1834"/>
      <c r="CB631" s="1835"/>
      <c r="CC631" s="1833">
        <f>IF(J753="3 Bedrooms",O753,0)</f>
        <v>0</v>
      </c>
      <c r="CD631" s="1834"/>
      <c r="CE631" s="1834"/>
      <c r="CF631" s="1834"/>
      <c r="CG631" s="1835"/>
      <c r="CH631" s="1833">
        <f>IF(J753="4 Bedrooms",O753,0)</f>
        <v>0</v>
      </c>
      <c r="CI631" s="1834"/>
      <c r="CJ631" s="1834"/>
      <c r="CK631" s="1834"/>
      <c r="CL631" s="1835"/>
      <c r="CM631" s="1843">
        <f>IF(J753="5 Bedrooms",O753,0)</f>
        <v>0</v>
      </c>
      <c r="CN631" s="1844"/>
      <c r="CO631" s="1844"/>
      <c r="CP631" s="1844"/>
      <c r="CQ631" s="1842"/>
      <c r="CR631" s="72"/>
      <c r="CS631" s="72"/>
    </row>
    <row r="632" spans="1:126" ht="13.2">
      <c r="B632" s="98" t="s">
        <v>1011</v>
      </c>
      <c r="C632" s="1797" t="s">
        <v>2418</v>
      </c>
      <c r="D632" s="1797"/>
      <c r="E632" s="1797"/>
      <c r="F632" s="1797"/>
      <c r="G632" s="1797"/>
      <c r="H632" s="1797"/>
      <c r="I632" s="1797"/>
      <c r="J632" s="1797"/>
      <c r="K632" s="1797"/>
      <c r="L632" s="1797"/>
      <c r="M632" s="1797"/>
      <c r="N632" s="1798"/>
      <c r="O632" s="1799">
        <v>660</v>
      </c>
      <c r="P632" s="1800"/>
      <c r="Q632" s="1801"/>
      <c r="R632" s="1802"/>
      <c r="S632" s="1803"/>
      <c r="T632" s="1804"/>
      <c r="U632" s="1805">
        <v>0.04</v>
      </c>
      <c r="V632" s="1806"/>
      <c r="W632" s="1807"/>
      <c r="X632" s="1808" t="s">
        <v>864</v>
      </c>
      <c r="Y632" s="1809"/>
      <c r="Z632" s="1809"/>
      <c r="AA632" s="1809"/>
      <c r="AB632" s="1810"/>
      <c r="AC632" s="1811">
        <v>1</v>
      </c>
      <c r="AD632" s="1812"/>
      <c r="AE632" s="1813"/>
      <c r="AF632" s="1746"/>
      <c r="AG632" s="1747"/>
      <c r="AH632" s="1747"/>
      <c r="AI632" s="1747"/>
      <c r="AJ632" s="1748"/>
      <c r="AK632" s="1814"/>
      <c r="AL632" s="1815"/>
      <c r="AM632" s="1815"/>
      <c r="AN632" s="1816"/>
      <c r="AO632" s="1774">
        <v>1000000</v>
      </c>
      <c r="AP632" s="1774"/>
      <c r="AQ632" s="1774"/>
      <c r="AR632" s="1774"/>
      <c r="AS632" s="1774"/>
      <c r="AU632" s="75"/>
      <c r="AV632" s="75"/>
      <c r="AW632" s="75"/>
      <c r="AX632" s="75"/>
      <c r="AY632" s="75"/>
      <c r="AZ632" s="75"/>
      <c r="BA632" s="72" t="s">
        <v>864</v>
      </c>
      <c r="BB632" s="75"/>
      <c r="BC632" s="75"/>
      <c r="BD632" s="75"/>
      <c r="BN632" s="1836">
        <f>SUM(BN628:BR631)</f>
        <v>0</v>
      </c>
      <c r="BO632" s="1837"/>
      <c r="BP632" s="1837"/>
      <c r="BQ632" s="1837"/>
      <c r="BR632" s="1838"/>
      <c r="BS632" s="1836">
        <f>SUM(BS628:BW631)</f>
        <v>0</v>
      </c>
      <c r="BT632" s="1837"/>
      <c r="BU632" s="1837"/>
      <c r="BV632" s="1837"/>
      <c r="BW632" s="1838"/>
      <c r="BX632" s="1836">
        <f>SUM(BX628:CB631)</f>
        <v>0</v>
      </c>
      <c r="BY632" s="1837"/>
      <c r="BZ632" s="1837"/>
      <c r="CA632" s="1837"/>
      <c r="CB632" s="1838"/>
      <c r="CC632" s="1836">
        <f>SUM(CC628:CG631)</f>
        <v>1</v>
      </c>
      <c r="CD632" s="1837"/>
      <c r="CE632" s="1837"/>
      <c r="CF632" s="1837"/>
      <c r="CG632" s="1838"/>
      <c r="CH632" s="1836">
        <f>SUM(CH628:CL631)</f>
        <v>0</v>
      </c>
      <c r="CI632" s="1837"/>
      <c r="CJ632" s="1837"/>
      <c r="CK632" s="1837"/>
      <c r="CL632" s="1838"/>
      <c r="CM632" s="1836">
        <f>SUM(CM628:CQ631)</f>
        <v>0</v>
      </c>
      <c r="CN632" s="1837"/>
      <c r="CO632" s="1837"/>
      <c r="CP632" s="1837"/>
      <c r="CQ632" s="1838"/>
      <c r="CS632" s="737">
        <f>BN632+BS632+BX632+CC632+CH632+CM632</f>
        <v>1</v>
      </c>
      <c r="CT632" s="142" t="s">
        <v>2279</v>
      </c>
      <c r="CU632" s="72"/>
    </row>
    <row r="633" spans="1:126" ht="13.2">
      <c r="B633" s="98" t="s">
        <v>480</v>
      </c>
      <c r="C633" s="1797" t="s">
        <v>2419</v>
      </c>
      <c r="D633" s="1797"/>
      <c r="E633" s="1797"/>
      <c r="F633" s="1797"/>
      <c r="G633" s="1797"/>
      <c r="H633" s="1797"/>
      <c r="I633" s="1797"/>
      <c r="J633" s="1797"/>
      <c r="K633" s="1797"/>
      <c r="L633" s="1797"/>
      <c r="M633" s="1797"/>
      <c r="N633" s="1798"/>
      <c r="O633" s="1799">
        <v>660</v>
      </c>
      <c r="P633" s="1800"/>
      <c r="Q633" s="1801"/>
      <c r="R633" s="1802"/>
      <c r="S633" s="1803"/>
      <c r="T633" s="1804"/>
      <c r="U633" s="1805">
        <v>0.04</v>
      </c>
      <c r="V633" s="1806"/>
      <c r="W633" s="1807"/>
      <c r="X633" s="1808" t="s">
        <v>864</v>
      </c>
      <c r="Y633" s="1809"/>
      <c r="Z633" s="1809"/>
      <c r="AA633" s="1809"/>
      <c r="AB633" s="1810"/>
      <c r="AC633" s="1811">
        <v>3</v>
      </c>
      <c r="AD633" s="1812"/>
      <c r="AE633" s="1813"/>
      <c r="AF633" s="1746"/>
      <c r="AG633" s="1747"/>
      <c r="AH633" s="1747"/>
      <c r="AI633" s="1747"/>
      <c r="AJ633" s="1748"/>
      <c r="AK633" s="1814"/>
      <c r="AL633" s="1815"/>
      <c r="AM633" s="1815"/>
      <c r="AN633" s="1816"/>
      <c r="AO633" s="1774">
        <v>1833700</v>
      </c>
      <c r="AP633" s="1774"/>
      <c r="AQ633" s="1774"/>
      <c r="AR633" s="1774"/>
      <c r="AS633" s="1774"/>
      <c r="AT633" s="75"/>
      <c r="AU633" s="75"/>
      <c r="AV633" s="75"/>
      <c r="AW633" s="75"/>
      <c r="AX633" s="75"/>
      <c r="AY633" s="75"/>
      <c r="AZ633" s="75"/>
      <c r="BA633" s="72" t="s">
        <v>2295</v>
      </c>
      <c r="BN633" s="75" t="s">
        <v>949</v>
      </c>
      <c r="BO633" s="75"/>
      <c r="BP633" s="75"/>
      <c r="BQ633" s="72"/>
      <c r="BR633" s="72"/>
      <c r="BS633" s="72"/>
      <c r="BT633" s="72"/>
      <c r="BU633" s="72"/>
      <c r="BV633" s="72"/>
      <c r="BW633" s="72"/>
      <c r="BX633" s="72"/>
      <c r="BY633" s="72"/>
      <c r="BZ633" s="72"/>
      <c r="CA633" s="72"/>
      <c r="CB633" s="72"/>
      <c r="CC633" s="72"/>
      <c r="CD633" s="72"/>
      <c r="CE633" s="72"/>
      <c r="CF633" s="72"/>
      <c r="CG633" s="72"/>
      <c r="CH633" s="72"/>
      <c r="CI633" s="72"/>
      <c r="CJ633" s="72"/>
      <c r="CK633" s="72"/>
      <c r="CL633" s="72"/>
      <c r="CM633" s="72"/>
      <c r="CN633" s="72"/>
      <c r="CO633" s="72"/>
      <c r="CP633" s="72"/>
      <c r="CQ633" s="72"/>
      <c r="CR633" s="72"/>
      <c r="CS633" s="72"/>
    </row>
    <row r="634" spans="1:126" ht="13.2">
      <c r="B634" s="98" t="s">
        <v>188</v>
      </c>
      <c r="C634" s="1797" t="s">
        <v>2421</v>
      </c>
      <c r="D634" s="1797"/>
      <c r="E634" s="1797"/>
      <c r="F634" s="1797"/>
      <c r="G634" s="1797"/>
      <c r="H634" s="1797"/>
      <c r="I634" s="1797"/>
      <c r="J634" s="1797"/>
      <c r="K634" s="1797"/>
      <c r="L634" s="1797"/>
      <c r="M634" s="1797"/>
      <c r="N634" s="1798"/>
      <c r="O634" s="1799">
        <v>660</v>
      </c>
      <c r="P634" s="1800"/>
      <c r="Q634" s="1801"/>
      <c r="R634" s="1802"/>
      <c r="S634" s="1803"/>
      <c r="T634" s="1804"/>
      <c r="U634" s="1805">
        <v>0.03</v>
      </c>
      <c r="V634" s="1806"/>
      <c r="W634" s="1807"/>
      <c r="X634" s="1808" t="s">
        <v>864</v>
      </c>
      <c r="Y634" s="1809"/>
      <c r="Z634" s="1809"/>
      <c r="AA634" s="1809"/>
      <c r="AB634" s="1810"/>
      <c r="AC634" s="1811">
        <v>1</v>
      </c>
      <c r="AD634" s="1812"/>
      <c r="AE634" s="1813"/>
      <c r="AF634" s="1746">
        <f>0.0042*AO634</f>
        <v>14698.677</v>
      </c>
      <c r="AG634" s="1747"/>
      <c r="AH634" s="1747"/>
      <c r="AI634" s="1747"/>
      <c r="AJ634" s="1748"/>
      <c r="AK634" s="1814"/>
      <c r="AL634" s="1815"/>
      <c r="AM634" s="1815"/>
      <c r="AN634" s="1816"/>
      <c r="AO634" s="1774">
        <v>3499685</v>
      </c>
      <c r="AP634" s="1774"/>
      <c r="AQ634" s="1774"/>
      <c r="AR634" s="1774"/>
      <c r="AS634" s="1774"/>
      <c r="AT634" s="75"/>
      <c r="AU634" s="75"/>
      <c r="AV634" s="75"/>
      <c r="AW634" s="75"/>
      <c r="AX634" s="75"/>
      <c r="AY634" s="75"/>
      <c r="AZ634" s="75"/>
      <c r="BA634" s="72" t="s">
        <v>548</v>
      </c>
      <c r="BN634" s="1833">
        <f t="shared" ref="BN634:BN643" si="16">IF(J764="SRO/Studio",O764,0)</f>
        <v>0</v>
      </c>
      <c r="BO634" s="1834"/>
      <c r="BP634" s="1834"/>
      <c r="BQ634" s="1834"/>
      <c r="BR634" s="1835"/>
      <c r="BS634" s="1833">
        <f t="shared" ref="BS634:BS643" si="17">IF(J764="1 Bedroom",O764,0)</f>
        <v>0</v>
      </c>
      <c r="BT634" s="1834"/>
      <c r="BU634" s="1834"/>
      <c r="BV634" s="1834"/>
      <c r="BW634" s="1835"/>
      <c r="BX634" s="1833">
        <f t="shared" ref="BX634:BX643" si="18">IF(J764="2 Bedrooms",O764,0)</f>
        <v>0</v>
      </c>
      <c r="BY634" s="1834"/>
      <c r="BZ634" s="1834"/>
      <c r="CA634" s="1834"/>
      <c r="CB634" s="1835"/>
      <c r="CC634" s="1833">
        <f t="shared" ref="CC634:CC643" si="19">IF(J764="3 Bedrooms",O764,0)</f>
        <v>0</v>
      </c>
      <c r="CD634" s="1834"/>
      <c r="CE634" s="1834"/>
      <c r="CF634" s="1834"/>
      <c r="CG634" s="1835"/>
      <c r="CH634" s="1833">
        <f t="shared" ref="CH634:CH643" si="20">IF(J764="4 Bedrooms",O764,0)</f>
        <v>0</v>
      </c>
      <c r="CI634" s="1834"/>
      <c r="CJ634" s="1834"/>
      <c r="CK634" s="1834"/>
      <c r="CL634" s="1835"/>
      <c r="CM634" s="1833">
        <f t="shared" ref="CM634:CM643" si="21">IF(J764="5 Bedrooms",O764,0)</f>
        <v>0</v>
      </c>
      <c r="CN634" s="1834"/>
      <c r="CO634" s="1834"/>
      <c r="CP634" s="1834"/>
      <c r="CQ634" s="1835"/>
      <c r="CR634" s="72"/>
      <c r="CS634" s="72"/>
    </row>
    <row r="635" spans="1:126" ht="13.2">
      <c r="B635" s="98" t="s">
        <v>483</v>
      </c>
      <c r="C635" s="1797"/>
      <c r="D635" s="1797"/>
      <c r="E635" s="1797"/>
      <c r="F635" s="1797"/>
      <c r="G635" s="1797"/>
      <c r="H635" s="1797"/>
      <c r="I635" s="1797"/>
      <c r="J635" s="1797"/>
      <c r="K635" s="1797"/>
      <c r="L635" s="1797"/>
      <c r="M635" s="1797"/>
      <c r="N635" s="1798"/>
      <c r="O635" s="1799">
        <v>0</v>
      </c>
      <c r="P635" s="1800"/>
      <c r="Q635" s="1801"/>
      <c r="R635" s="1802"/>
      <c r="S635" s="1803"/>
      <c r="T635" s="1804"/>
      <c r="U635" s="1805"/>
      <c r="V635" s="1806"/>
      <c r="W635" s="1807"/>
      <c r="X635" s="1808" t="s">
        <v>548</v>
      </c>
      <c r="Y635" s="1809"/>
      <c r="Z635" s="1809"/>
      <c r="AA635" s="1809"/>
      <c r="AB635" s="1810"/>
      <c r="AC635" s="1811"/>
      <c r="AD635" s="1812"/>
      <c r="AE635" s="1813"/>
      <c r="AF635" s="1746"/>
      <c r="AG635" s="1747"/>
      <c r="AH635" s="1747"/>
      <c r="AI635" s="1747"/>
      <c r="AJ635" s="1748"/>
      <c r="AK635" s="1814"/>
      <c r="AL635" s="1815"/>
      <c r="AM635" s="1815"/>
      <c r="AN635" s="1816"/>
      <c r="AO635" s="1774">
        <v>0</v>
      </c>
      <c r="AP635" s="1774"/>
      <c r="AQ635" s="1774"/>
      <c r="AR635" s="1774"/>
      <c r="AS635" s="1774"/>
      <c r="AT635" s="75"/>
      <c r="AU635" s="75"/>
      <c r="AV635" s="75"/>
      <c r="AW635" s="75"/>
      <c r="AX635" s="75"/>
      <c r="AY635" s="75"/>
      <c r="AZ635" s="75"/>
      <c r="BN635" s="1833">
        <f t="shared" si="16"/>
        <v>0</v>
      </c>
      <c r="BO635" s="1834"/>
      <c r="BP635" s="1834"/>
      <c r="BQ635" s="1834"/>
      <c r="BR635" s="1835"/>
      <c r="BS635" s="1833">
        <f t="shared" si="17"/>
        <v>0</v>
      </c>
      <c r="BT635" s="1834"/>
      <c r="BU635" s="1834"/>
      <c r="BV635" s="1834"/>
      <c r="BW635" s="1835"/>
      <c r="BX635" s="1833">
        <f t="shared" si="18"/>
        <v>0</v>
      </c>
      <c r="BY635" s="1834"/>
      <c r="BZ635" s="1834"/>
      <c r="CA635" s="1834"/>
      <c r="CB635" s="1835"/>
      <c r="CC635" s="1833">
        <f t="shared" si="19"/>
        <v>0</v>
      </c>
      <c r="CD635" s="1834"/>
      <c r="CE635" s="1834"/>
      <c r="CF635" s="1834"/>
      <c r="CG635" s="1835"/>
      <c r="CH635" s="1833">
        <f t="shared" si="20"/>
        <v>0</v>
      </c>
      <c r="CI635" s="1834"/>
      <c r="CJ635" s="1834"/>
      <c r="CK635" s="1834"/>
      <c r="CL635" s="1835"/>
      <c r="CM635" s="1833">
        <f t="shared" si="21"/>
        <v>0</v>
      </c>
      <c r="CN635" s="1834"/>
      <c r="CO635" s="1834"/>
      <c r="CP635" s="1834"/>
      <c r="CQ635" s="1835"/>
      <c r="CR635" s="72"/>
      <c r="CS635" s="72"/>
    </row>
    <row r="636" spans="1:126" ht="13.2">
      <c r="B636" s="98" t="s">
        <v>810</v>
      </c>
      <c r="C636" s="1797"/>
      <c r="D636" s="1797"/>
      <c r="E636" s="1797"/>
      <c r="F636" s="1797"/>
      <c r="G636" s="1797"/>
      <c r="H636" s="1797"/>
      <c r="I636" s="1797"/>
      <c r="J636" s="1797"/>
      <c r="K636" s="1797"/>
      <c r="L636" s="1797"/>
      <c r="M636" s="1797"/>
      <c r="N636" s="1798"/>
      <c r="O636" s="1799"/>
      <c r="P636" s="1800"/>
      <c r="Q636" s="1801"/>
      <c r="R636" s="1802"/>
      <c r="S636" s="1803"/>
      <c r="T636" s="1804"/>
      <c r="U636" s="1805"/>
      <c r="V636" s="1806"/>
      <c r="W636" s="1807"/>
      <c r="X636" s="1808" t="s">
        <v>2275</v>
      </c>
      <c r="Y636" s="1809"/>
      <c r="Z636" s="1809"/>
      <c r="AA636" s="1809"/>
      <c r="AB636" s="1810"/>
      <c r="AC636" s="1811"/>
      <c r="AD636" s="1812"/>
      <c r="AE636" s="1813"/>
      <c r="AF636" s="1746"/>
      <c r="AG636" s="1747"/>
      <c r="AH636" s="1747"/>
      <c r="AI636" s="1747"/>
      <c r="AJ636" s="1748"/>
      <c r="AK636" s="1814"/>
      <c r="AL636" s="1815"/>
      <c r="AM636" s="1815"/>
      <c r="AN636" s="1816"/>
      <c r="AO636" s="1774"/>
      <c r="AP636" s="1774"/>
      <c r="AQ636" s="1774"/>
      <c r="AR636" s="1774"/>
      <c r="AS636" s="1774"/>
      <c r="AT636" s="75"/>
      <c r="AU636" s="75"/>
      <c r="AV636" s="75"/>
      <c r="AW636" s="75"/>
      <c r="AX636" s="75"/>
      <c r="AY636" s="75"/>
      <c r="AZ636" s="75"/>
      <c r="BN636" s="1833">
        <f t="shared" si="16"/>
        <v>0</v>
      </c>
      <c r="BO636" s="1834"/>
      <c r="BP636" s="1834"/>
      <c r="BQ636" s="1834"/>
      <c r="BR636" s="1835"/>
      <c r="BS636" s="1833">
        <f t="shared" si="17"/>
        <v>0</v>
      </c>
      <c r="BT636" s="1834"/>
      <c r="BU636" s="1834"/>
      <c r="BV636" s="1834"/>
      <c r="BW636" s="1835"/>
      <c r="BX636" s="1833">
        <f t="shared" si="18"/>
        <v>0</v>
      </c>
      <c r="BY636" s="1834"/>
      <c r="BZ636" s="1834"/>
      <c r="CA636" s="1834"/>
      <c r="CB636" s="1835"/>
      <c r="CC636" s="1833">
        <f t="shared" si="19"/>
        <v>0</v>
      </c>
      <c r="CD636" s="1834"/>
      <c r="CE636" s="1834"/>
      <c r="CF636" s="1834"/>
      <c r="CG636" s="1835"/>
      <c r="CH636" s="1833">
        <f t="shared" si="20"/>
        <v>0</v>
      </c>
      <c r="CI636" s="1834"/>
      <c r="CJ636" s="1834"/>
      <c r="CK636" s="1834"/>
      <c r="CL636" s="1835"/>
      <c r="CM636" s="1833">
        <f t="shared" si="21"/>
        <v>0</v>
      </c>
      <c r="CN636" s="1834"/>
      <c r="CO636" s="1834"/>
      <c r="CP636" s="1834"/>
      <c r="CQ636" s="1835"/>
      <c r="CR636" s="72"/>
      <c r="CS636" s="72"/>
    </row>
    <row r="637" spans="1:126" ht="13.2">
      <c r="B637" s="98" t="s">
        <v>811</v>
      </c>
      <c r="C637" s="1797"/>
      <c r="D637" s="1797"/>
      <c r="E637" s="1797"/>
      <c r="F637" s="1797"/>
      <c r="G637" s="1797"/>
      <c r="H637" s="1797"/>
      <c r="I637" s="1797"/>
      <c r="J637" s="1797"/>
      <c r="K637" s="1797"/>
      <c r="L637" s="1797"/>
      <c r="M637" s="1797"/>
      <c r="N637" s="1798"/>
      <c r="O637" s="1799"/>
      <c r="P637" s="1800"/>
      <c r="Q637" s="1801"/>
      <c r="R637" s="1802"/>
      <c r="S637" s="1803"/>
      <c r="T637" s="1804"/>
      <c r="U637" s="1805"/>
      <c r="V637" s="1806"/>
      <c r="W637" s="1807"/>
      <c r="X637" s="1808" t="s">
        <v>2275</v>
      </c>
      <c r="Y637" s="1809"/>
      <c r="Z637" s="1809"/>
      <c r="AA637" s="1809"/>
      <c r="AB637" s="1810"/>
      <c r="AC637" s="1811"/>
      <c r="AD637" s="1812"/>
      <c r="AE637" s="1813"/>
      <c r="AF637" s="1746"/>
      <c r="AG637" s="1747"/>
      <c r="AH637" s="1747"/>
      <c r="AI637" s="1747"/>
      <c r="AJ637" s="1748"/>
      <c r="AK637" s="1814"/>
      <c r="AL637" s="1815"/>
      <c r="AM637" s="1815"/>
      <c r="AN637" s="1816"/>
      <c r="AO637" s="1774"/>
      <c r="AP637" s="1774"/>
      <c r="AQ637" s="1774"/>
      <c r="AR637" s="1774"/>
      <c r="AS637" s="1774"/>
      <c r="AT637" s="75"/>
      <c r="AU637" s="75"/>
      <c r="AV637" s="75"/>
      <c r="AW637" s="75"/>
      <c r="AX637" s="75"/>
      <c r="AY637" s="75"/>
      <c r="AZ637" s="75"/>
      <c r="BN637" s="1833">
        <f t="shared" si="16"/>
        <v>0</v>
      </c>
      <c r="BO637" s="1834"/>
      <c r="BP637" s="1834"/>
      <c r="BQ637" s="1834"/>
      <c r="BR637" s="1835"/>
      <c r="BS637" s="1833">
        <f t="shared" si="17"/>
        <v>0</v>
      </c>
      <c r="BT637" s="1834"/>
      <c r="BU637" s="1834"/>
      <c r="BV637" s="1834"/>
      <c r="BW637" s="1835"/>
      <c r="BX637" s="1833">
        <f t="shared" si="18"/>
        <v>0</v>
      </c>
      <c r="BY637" s="1834"/>
      <c r="BZ637" s="1834"/>
      <c r="CA637" s="1834"/>
      <c r="CB637" s="1835"/>
      <c r="CC637" s="1833">
        <f t="shared" si="19"/>
        <v>0</v>
      </c>
      <c r="CD637" s="1834"/>
      <c r="CE637" s="1834"/>
      <c r="CF637" s="1834"/>
      <c r="CG637" s="1835"/>
      <c r="CH637" s="1833">
        <f t="shared" si="20"/>
        <v>0</v>
      </c>
      <c r="CI637" s="1834"/>
      <c r="CJ637" s="1834"/>
      <c r="CK637" s="1834"/>
      <c r="CL637" s="1835"/>
      <c r="CM637" s="1833">
        <f t="shared" si="21"/>
        <v>0</v>
      </c>
      <c r="CN637" s="1834"/>
      <c r="CO637" s="1834"/>
      <c r="CP637" s="1834"/>
      <c r="CQ637" s="1835"/>
      <c r="CR637" s="72"/>
      <c r="CS637" s="72"/>
    </row>
    <row r="638" spans="1:126" ht="13.2">
      <c r="B638" s="98" t="s">
        <v>606</v>
      </c>
      <c r="C638" s="1797"/>
      <c r="D638" s="1797"/>
      <c r="E638" s="1797"/>
      <c r="F638" s="1797"/>
      <c r="G638" s="1797"/>
      <c r="H638" s="1797"/>
      <c r="I638" s="1797"/>
      <c r="J638" s="1797"/>
      <c r="K638" s="1797"/>
      <c r="L638" s="1797"/>
      <c r="M638" s="1797"/>
      <c r="N638" s="1798"/>
      <c r="O638" s="1799"/>
      <c r="P638" s="1800"/>
      <c r="Q638" s="1801"/>
      <c r="R638" s="1802"/>
      <c r="S638" s="1803"/>
      <c r="T638" s="1804"/>
      <c r="U638" s="1805"/>
      <c r="V638" s="1806"/>
      <c r="W638" s="1807"/>
      <c r="X638" s="1808" t="s">
        <v>2275</v>
      </c>
      <c r="Y638" s="1809"/>
      <c r="Z638" s="1809"/>
      <c r="AA638" s="1809"/>
      <c r="AB638" s="1810"/>
      <c r="AC638" s="1811"/>
      <c r="AD638" s="1812"/>
      <c r="AE638" s="1813"/>
      <c r="AF638" s="1746"/>
      <c r="AG638" s="1747"/>
      <c r="AH638" s="1747"/>
      <c r="AI638" s="1747"/>
      <c r="AJ638" s="1748"/>
      <c r="AK638" s="1814"/>
      <c r="AL638" s="1815"/>
      <c r="AM638" s="1815"/>
      <c r="AN638" s="1816"/>
      <c r="AO638" s="1774"/>
      <c r="AP638" s="1774"/>
      <c r="AQ638" s="1774"/>
      <c r="AR638" s="1774"/>
      <c r="AS638" s="1774"/>
      <c r="AT638" s="72"/>
      <c r="AU638" s="72"/>
      <c r="AV638" s="72"/>
      <c r="AW638" s="72"/>
      <c r="AX638" s="72"/>
      <c r="AY638" s="72"/>
      <c r="AZ638" s="72"/>
      <c r="BN638" s="1833">
        <f t="shared" si="16"/>
        <v>0</v>
      </c>
      <c r="BO638" s="1834"/>
      <c r="BP638" s="1834"/>
      <c r="BQ638" s="1834"/>
      <c r="BR638" s="1835"/>
      <c r="BS638" s="1833">
        <f t="shared" si="17"/>
        <v>0</v>
      </c>
      <c r="BT638" s="1834"/>
      <c r="BU638" s="1834"/>
      <c r="BV638" s="1834"/>
      <c r="BW638" s="1835"/>
      <c r="BX638" s="1833">
        <f t="shared" si="18"/>
        <v>0</v>
      </c>
      <c r="BY638" s="1834"/>
      <c r="BZ638" s="1834"/>
      <c r="CA638" s="1834"/>
      <c r="CB638" s="1835"/>
      <c r="CC638" s="1833">
        <f t="shared" si="19"/>
        <v>0</v>
      </c>
      <c r="CD638" s="1834"/>
      <c r="CE638" s="1834"/>
      <c r="CF638" s="1834"/>
      <c r="CG638" s="1835"/>
      <c r="CH638" s="1833">
        <f t="shared" si="20"/>
        <v>0</v>
      </c>
      <c r="CI638" s="1834"/>
      <c r="CJ638" s="1834"/>
      <c r="CK638" s="1834"/>
      <c r="CL638" s="1835"/>
      <c r="CM638" s="1833">
        <f t="shared" si="21"/>
        <v>0</v>
      </c>
      <c r="CN638" s="1834"/>
      <c r="CO638" s="1834"/>
      <c r="CP638" s="1834"/>
      <c r="CQ638" s="1835"/>
      <c r="CR638" s="72"/>
      <c r="CS638" s="72"/>
    </row>
    <row r="639" spans="1:126" ht="13.2">
      <c r="B639" s="98" t="s">
        <v>191</v>
      </c>
      <c r="C639" s="1797"/>
      <c r="D639" s="1797"/>
      <c r="E639" s="1797"/>
      <c r="F639" s="1797"/>
      <c r="G639" s="1797"/>
      <c r="H639" s="1797"/>
      <c r="I639" s="1797"/>
      <c r="J639" s="1797"/>
      <c r="K639" s="1797"/>
      <c r="L639" s="1797"/>
      <c r="M639" s="1797"/>
      <c r="N639" s="1798"/>
      <c r="O639" s="1799"/>
      <c r="P639" s="1800"/>
      <c r="Q639" s="1801"/>
      <c r="R639" s="1802"/>
      <c r="S639" s="1803"/>
      <c r="T639" s="1804"/>
      <c r="U639" s="1805"/>
      <c r="V639" s="1806"/>
      <c r="W639" s="1807"/>
      <c r="X639" s="1808" t="s">
        <v>2275</v>
      </c>
      <c r="Y639" s="1809"/>
      <c r="Z639" s="1809"/>
      <c r="AA639" s="1809"/>
      <c r="AB639" s="1810"/>
      <c r="AC639" s="1811"/>
      <c r="AD639" s="1812"/>
      <c r="AE639" s="1813"/>
      <c r="AF639" s="1746"/>
      <c r="AG639" s="1747"/>
      <c r="AH639" s="1747"/>
      <c r="AI639" s="1747"/>
      <c r="AJ639" s="1748"/>
      <c r="AK639" s="1814"/>
      <c r="AL639" s="1815"/>
      <c r="AM639" s="1815"/>
      <c r="AN639" s="1816"/>
      <c r="AO639" s="1774"/>
      <c r="AP639" s="1774"/>
      <c r="AQ639" s="1774"/>
      <c r="AR639" s="1774"/>
      <c r="AS639" s="1774"/>
      <c r="AT639" s="72"/>
      <c r="AU639" s="72"/>
      <c r="AV639" s="72"/>
      <c r="AW639" s="72"/>
      <c r="AX639" s="72"/>
      <c r="AY639" s="72"/>
      <c r="AZ639" s="72"/>
      <c r="BN639" s="1833">
        <f t="shared" si="16"/>
        <v>0</v>
      </c>
      <c r="BO639" s="1834"/>
      <c r="BP639" s="1834"/>
      <c r="BQ639" s="1834"/>
      <c r="BR639" s="1835"/>
      <c r="BS639" s="1833">
        <f t="shared" si="17"/>
        <v>0</v>
      </c>
      <c r="BT639" s="1834"/>
      <c r="BU639" s="1834"/>
      <c r="BV639" s="1834"/>
      <c r="BW639" s="1835"/>
      <c r="BX639" s="1833">
        <f t="shared" si="18"/>
        <v>0</v>
      </c>
      <c r="BY639" s="1834"/>
      <c r="BZ639" s="1834"/>
      <c r="CA639" s="1834"/>
      <c r="CB639" s="1835"/>
      <c r="CC639" s="1833">
        <f t="shared" si="19"/>
        <v>0</v>
      </c>
      <c r="CD639" s="1834"/>
      <c r="CE639" s="1834"/>
      <c r="CF639" s="1834"/>
      <c r="CG639" s="1835"/>
      <c r="CH639" s="1833">
        <f t="shared" si="20"/>
        <v>0</v>
      </c>
      <c r="CI639" s="1834"/>
      <c r="CJ639" s="1834"/>
      <c r="CK639" s="1834"/>
      <c r="CL639" s="1835"/>
      <c r="CM639" s="1833">
        <f t="shared" si="21"/>
        <v>0</v>
      </c>
      <c r="CN639" s="1834"/>
      <c r="CO639" s="1834"/>
      <c r="CP639" s="1834"/>
      <c r="CQ639" s="1835"/>
      <c r="CR639" s="72"/>
      <c r="CS639" s="72"/>
    </row>
    <row r="640" spans="1:126" ht="13.2">
      <c r="B640" s="98" t="s">
        <v>37</v>
      </c>
      <c r="C640" s="1797"/>
      <c r="D640" s="1797"/>
      <c r="E640" s="1797"/>
      <c r="F640" s="1797"/>
      <c r="G640" s="1797"/>
      <c r="H640" s="1797"/>
      <c r="I640" s="1797"/>
      <c r="J640" s="1797"/>
      <c r="K640" s="1797"/>
      <c r="L640" s="1797"/>
      <c r="M640" s="1797"/>
      <c r="N640" s="1798"/>
      <c r="O640" s="1799"/>
      <c r="P640" s="1800"/>
      <c r="Q640" s="1801"/>
      <c r="R640" s="1802"/>
      <c r="S640" s="1803"/>
      <c r="T640" s="1804"/>
      <c r="U640" s="1805"/>
      <c r="V640" s="1806"/>
      <c r="W640" s="1807"/>
      <c r="X640" s="1808" t="s">
        <v>2275</v>
      </c>
      <c r="Y640" s="1809"/>
      <c r="Z640" s="1809"/>
      <c r="AA640" s="1809"/>
      <c r="AB640" s="1810"/>
      <c r="AC640" s="1811"/>
      <c r="AD640" s="1812"/>
      <c r="AE640" s="1813"/>
      <c r="AF640" s="1746"/>
      <c r="AG640" s="1747"/>
      <c r="AH640" s="1747"/>
      <c r="AI640" s="1747"/>
      <c r="AJ640" s="1748"/>
      <c r="AK640" s="1814"/>
      <c r="AL640" s="1815"/>
      <c r="AM640" s="1815"/>
      <c r="AN640" s="1816"/>
      <c r="AO640" s="1774"/>
      <c r="AP640" s="1774"/>
      <c r="AQ640" s="1774"/>
      <c r="AR640" s="1774"/>
      <c r="AS640" s="1774"/>
      <c r="AT640" s="72"/>
      <c r="AU640" s="72"/>
      <c r="AV640" s="72"/>
      <c r="AW640" s="72"/>
      <c r="AX640" s="72"/>
      <c r="AY640" s="72"/>
      <c r="AZ640" s="72"/>
      <c r="BN640" s="1833">
        <f t="shared" si="16"/>
        <v>0</v>
      </c>
      <c r="BO640" s="1834"/>
      <c r="BP640" s="1834"/>
      <c r="BQ640" s="1834"/>
      <c r="BR640" s="1835"/>
      <c r="BS640" s="1833">
        <f t="shared" si="17"/>
        <v>0</v>
      </c>
      <c r="BT640" s="1834"/>
      <c r="BU640" s="1834"/>
      <c r="BV640" s="1834"/>
      <c r="BW640" s="1835"/>
      <c r="BX640" s="1833">
        <f t="shared" si="18"/>
        <v>0</v>
      </c>
      <c r="BY640" s="1834"/>
      <c r="BZ640" s="1834"/>
      <c r="CA640" s="1834"/>
      <c r="CB640" s="1835"/>
      <c r="CC640" s="1833">
        <f t="shared" si="19"/>
        <v>0</v>
      </c>
      <c r="CD640" s="1834"/>
      <c r="CE640" s="1834"/>
      <c r="CF640" s="1834"/>
      <c r="CG640" s="1835"/>
      <c r="CH640" s="1833">
        <f t="shared" si="20"/>
        <v>0</v>
      </c>
      <c r="CI640" s="1834"/>
      <c r="CJ640" s="1834"/>
      <c r="CK640" s="1834"/>
      <c r="CL640" s="1835"/>
      <c r="CM640" s="1833">
        <f t="shared" si="21"/>
        <v>0</v>
      </c>
      <c r="CN640" s="1834"/>
      <c r="CO640" s="1834"/>
      <c r="CP640" s="1834"/>
      <c r="CQ640" s="1835"/>
      <c r="CR640" s="72"/>
      <c r="CS640" s="72"/>
    </row>
    <row r="641" spans="1:97" ht="12.75" customHeight="1">
      <c r="B641" s="98" t="s">
        <v>38</v>
      </c>
      <c r="C641" s="1797"/>
      <c r="D641" s="1797"/>
      <c r="E641" s="1797"/>
      <c r="F641" s="1797"/>
      <c r="G641" s="1797"/>
      <c r="H641" s="1797"/>
      <c r="I641" s="1797"/>
      <c r="J641" s="1797"/>
      <c r="K641" s="1797"/>
      <c r="L641" s="1797"/>
      <c r="M641" s="1797"/>
      <c r="N641" s="1798"/>
      <c r="O641" s="1799"/>
      <c r="P641" s="1800"/>
      <c r="Q641" s="1801"/>
      <c r="R641" s="1802"/>
      <c r="S641" s="1803"/>
      <c r="T641" s="1804"/>
      <c r="U641" s="1805"/>
      <c r="V641" s="1806"/>
      <c r="W641" s="1807"/>
      <c r="X641" s="1808" t="s">
        <v>2275</v>
      </c>
      <c r="Y641" s="1809"/>
      <c r="Z641" s="1809"/>
      <c r="AA641" s="1809"/>
      <c r="AB641" s="1810"/>
      <c r="AC641" s="1811"/>
      <c r="AD641" s="1812"/>
      <c r="AE641" s="1813"/>
      <c r="AF641" s="1746"/>
      <c r="AG641" s="1747"/>
      <c r="AH641" s="1747"/>
      <c r="AI641" s="1747"/>
      <c r="AJ641" s="1748"/>
      <c r="AK641" s="1814"/>
      <c r="AL641" s="1815"/>
      <c r="AM641" s="1815"/>
      <c r="AN641" s="1816"/>
      <c r="AO641" s="1774"/>
      <c r="AP641" s="1774"/>
      <c r="AQ641" s="1774"/>
      <c r="AR641" s="1774"/>
      <c r="AS641" s="1774"/>
      <c r="AT641" s="75"/>
      <c r="AU641" s="75"/>
      <c r="AV641" s="75"/>
      <c r="AW641" s="75"/>
      <c r="AX641" s="75"/>
      <c r="AY641" s="75"/>
      <c r="AZ641" s="75"/>
      <c r="BN641" s="1833">
        <f t="shared" si="16"/>
        <v>0</v>
      </c>
      <c r="BO641" s="1834"/>
      <c r="BP641" s="1834"/>
      <c r="BQ641" s="1834"/>
      <c r="BR641" s="1835"/>
      <c r="BS641" s="1833">
        <f t="shared" si="17"/>
        <v>0</v>
      </c>
      <c r="BT641" s="1834"/>
      <c r="BU641" s="1834"/>
      <c r="BV641" s="1834"/>
      <c r="BW641" s="1835"/>
      <c r="BX641" s="1833">
        <f t="shared" si="18"/>
        <v>0</v>
      </c>
      <c r="BY641" s="1834"/>
      <c r="BZ641" s="1834"/>
      <c r="CA641" s="1834"/>
      <c r="CB641" s="1835"/>
      <c r="CC641" s="1833">
        <f t="shared" si="19"/>
        <v>0</v>
      </c>
      <c r="CD641" s="1834"/>
      <c r="CE641" s="1834"/>
      <c r="CF641" s="1834"/>
      <c r="CG641" s="1835"/>
      <c r="CH641" s="1833">
        <f t="shared" si="20"/>
        <v>0</v>
      </c>
      <c r="CI641" s="1834"/>
      <c r="CJ641" s="1834"/>
      <c r="CK641" s="1834"/>
      <c r="CL641" s="1835"/>
      <c r="CM641" s="1833">
        <f t="shared" si="21"/>
        <v>0</v>
      </c>
      <c r="CN641" s="1834"/>
      <c r="CO641" s="1834"/>
      <c r="CP641" s="1834"/>
      <c r="CQ641" s="1835"/>
      <c r="CR641" s="72"/>
      <c r="CS641" s="72"/>
    </row>
    <row r="642" spans="1:97" ht="12.75" customHeight="1">
      <c r="B642" s="1848" t="s">
        <v>402</v>
      </c>
      <c r="C642" s="1849"/>
      <c r="D642" s="1849"/>
      <c r="E642" s="1849"/>
      <c r="F642" s="1849"/>
      <c r="G642" s="1849"/>
      <c r="H642" s="1849"/>
      <c r="I642" s="1849"/>
      <c r="J642" s="1849"/>
      <c r="K642" s="1849"/>
      <c r="L642" s="1849"/>
      <c r="M642" s="1849"/>
      <c r="N642" s="1849"/>
      <c r="O642" s="1849"/>
      <c r="P642" s="1849"/>
      <c r="Q642" s="1849"/>
      <c r="R642" s="1849"/>
      <c r="S642" s="1849"/>
      <c r="T642" s="1849"/>
      <c r="U642" s="1849"/>
      <c r="V642" s="1849"/>
      <c r="W642" s="1849"/>
      <c r="X642" s="1849"/>
      <c r="Y642" s="1849"/>
      <c r="Z642" s="1849"/>
      <c r="AA642" s="1849"/>
      <c r="AB642" s="1849"/>
      <c r="AC642" s="1849"/>
      <c r="AD642" s="1849"/>
      <c r="AE642" s="1849"/>
      <c r="AF642" s="1849"/>
      <c r="AG642" s="1849"/>
      <c r="AH642" s="1849"/>
      <c r="AI642" s="1849"/>
      <c r="AJ642" s="1849"/>
      <c r="AK642" s="1849"/>
      <c r="AL642" s="1849"/>
      <c r="AM642" s="1849"/>
      <c r="AN642" s="1851"/>
      <c r="AO642" s="1749">
        <f>SUM(AO630:AS641)</f>
        <v>7966497</v>
      </c>
      <c r="AP642" s="1750"/>
      <c r="AQ642" s="1750"/>
      <c r="AR642" s="1750"/>
      <c r="AS642" s="1751"/>
      <c r="AT642" s="75"/>
      <c r="AU642" s="75"/>
      <c r="AV642" s="75"/>
      <c r="AW642" s="75"/>
      <c r="AX642" s="75"/>
      <c r="AY642" s="75"/>
      <c r="AZ642" s="75"/>
      <c r="BN642" s="1833">
        <f t="shared" si="16"/>
        <v>0</v>
      </c>
      <c r="BO642" s="1834"/>
      <c r="BP642" s="1834"/>
      <c r="BQ642" s="1834"/>
      <c r="BR642" s="1835"/>
      <c r="BS642" s="1833">
        <f t="shared" si="17"/>
        <v>0</v>
      </c>
      <c r="BT642" s="1834"/>
      <c r="BU642" s="1834"/>
      <c r="BV642" s="1834"/>
      <c r="BW642" s="1835"/>
      <c r="BX642" s="1833">
        <f t="shared" si="18"/>
        <v>0</v>
      </c>
      <c r="BY642" s="1834"/>
      <c r="BZ642" s="1834"/>
      <c r="CA642" s="1834"/>
      <c r="CB642" s="1835"/>
      <c r="CC642" s="1833">
        <f t="shared" si="19"/>
        <v>0</v>
      </c>
      <c r="CD642" s="1834"/>
      <c r="CE642" s="1834"/>
      <c r="CF642" s="1834"/>
      <c r="CG642" s="1835"/>
      <c r="CH642" s="1833">
        <f t="shared" si="20"/>
        <v>0</v>
      </c>
      <c r="CI642" s="1834"/>
      <c r="CJ642" s="1834"/>
      <c r="CK642" s="1834"/>
      <c r="CL642" s="1835"/>
      <c r="CM642" s="1833">
        <f t="shared" si="21"/>
        <v>0</v>
      </c>
      <c r="CN642" s="1834"/>
      <c r="CO642" s="1834"/>
      <c r="CP642" s="1834"/>
      <c r="CQ642" s="1835"/>
      <c r="CR642" s="72"/>
      <c r="CS642" s="72"/>
    </row>
    <row r="643" spans="1:97" ht="13.2">
      <c r="B643" s="1848" t="s">
        <v>403</v>
      </c>
      <c r="C643" s="1849"/>
      <c r="D643" s="1849"/>
      <c r="E643" s="1849"/>
      <c r="F643" s="1849"/>
      <c r="G643" s="1849"/>
      <c r="H643" s="1849"/>
      <c r="I643" s="1849"/>
      <c r="J643" s="1849"/>
      <c r="K643" s="1849"/>
      <c r="L643" s="1849"/>
      <c r="M643" s="1849"/>
      <c r="N643" s="1849"/>
      <c r="O643" s="1849"/>
      <c r="P643" s="1849"/>
      <c r="Q643" s="1849"/>
      <c r="R643" s="1849"/>
      <c r="S643" s="1849"/>
      <c r="T643" s="1849"/>
      <c r="U643" s="1849"/>
      <c r="V643" s="1849"/>
      <c r="W643" s="1849"/>
      <c r="X643" s="1849"/>
      <c r="Y643" s="1849"/>
      <c r="Z643" s="1849"/>
      <c r="AA643" s="1849"/>
      <c r="AB643" s="1849"/>
      <c r="AC643" s="1849"/>
      <c r="AD643" s="1849"/>
      <c r="AE643" s="1849"/>
      <c r="AF643" s="1849"/>
      <c r="AG643" s="1849"/>
      <c r="AH643" s="1849"/>
      <c r="AI643" s="1849"/>
      <c r="AJ643" s="1849"/>
      <c r="AK643" s="1849"/>
      <c r="AL643" s="1849"/>
      <c r="AM643" s="1849"/>
      <c r="AN643" s="1851"/>
      <c r="AO643" s="1743">
        <v>16141068</v>
      </c>
      <c r="AP643" s="1744"/>
      <c r="AQ643" s="1744"/>
      <c r="AR643" s="1744"/>
      <c r="AS643" s="1745"/>
      <c r="AT643" s="75"/>
      <c r="AU643" s="75"/>
      <c r="AV643" s="75"/>
      <c r="AW643" s="75"/>
      <c r="AX643" s="75"/>
      <c r="AY643" s="75"/>
      <c r="AZ643" s="75"/>
      <c r="BN643" s="1833">
        <f t="shared" si="16"/>
        <v>0</v>
      </c>
      <c r="BO643" s="1834"/>
      <c r="BP643" s="1834"/>
      <c r="BQ643" s="1834"/>
      <c r="BR643" s="1835"/>
      <c r="BS643" s="1833">
        <f t="shared" si="17"/>
        <v>0</v>
      </c>
      <c r="BT643" s="1834"/>
      <c r="BU643" s="1834"/>
      <c r="BV643" s="1834"/>
      <c r="BW643" s="1835"/>
      <c r="BX643" s="1833">
        <f t="shared" si="18"/>
        <v>0</v>
      </c>
      <c r="BY643" s="1834"/>
      <c r="BZ643" s="1834"/>
      <c r="CA643" s="1834"/>
      <c r="CB643" s="1835"/>
      <c r="CC643" s="1833">
        <f t="shared" si="19"/>
        <v>0</v>
      </c>
      <c r="CD643" s="1834"/>
      <c r="CE643" s="1834"/>
      <c r="CF643" s="1834"/>
      <c r="CG643" s="1835"/>
      <c r="CH643" s="1833">
        <f t="shared" si="20"/>
        <v>0</v>
      </c>
      <c r="CI643" s="1834"/>
      <c r="CJ643" s="1834"/>
      <c r="CK643" s="1834"/>
      <c r="CL643" s="1835"/>
      <c r="CM643" s="1833">
        <f t="shared" si="21"/>
        <v>0</v>
      </c>
      <c r="CN643" s="1834"/>
      <c r="CO643" s="1834"/>
      <c r="CP643" s="1834"/>
      <c r="CQ643" s="1835"/>
      <c r="CR643" s="72"/>
      <c r="CS643" s="72"/>
    </row>
    <row r="644" spans="1:97" ht="13.2">
      <c r="B644" s="2033" t="s">
        <v>1044</v>
      </c>
      <c r="C644" s="1850"/>
      <c r="D644" s="1850"/>
      <c r="E644" s="1850"/>
      <c r="F644" s="1850"/>
      <c r="G644" s="1850"/>
      <c r="H644" s="1850"/>
      <c r="I644" s="1850"/>
      <c r="J644" s="1850"/>
      <c r="K644" s="1850"/>
      <c r="L644" s="1850"/>
      <c r="M644" s="1850"/>
      <c r="N644" s="1850"/>
      <c r="O644" s="1850"/>
      <c r="P644" s="1850"/>
      <c r="Q644" s="1850"/>
      <c r="R644" s="1850"/>
      <c r="S644" s="1850"/>
      <c r="T644" s="1850"/>
      <c r="U644" s="1850"/>
      <c r="V644" s="1850"/>
      <c r="W644" s="1850"/>
      <c r="X644" s="1850"/>
      <c r="Y644" s="1850"/>
      <c r="Z644" s="1850"/>
      <c r="AA644" s="1850"/>
      <c r="AB644" s="1850"/>
      <c r="AC644" s="1850"/>
      <c r="AD644" s="1850"/>
      <c r="AE644" s="1850"/>
      <c r="AF644" s="1850"/>
      <c r="AG644" s="1850"/>
      <c r="AH644" s="1850"/>
      <c r="AI644" s="1850"/>
      <c r="AJ644" s="1850"/>
      <c r="AK644" s="1850"/>
      <c r="AL644" s="1850"/>
      <c r="AM644" s="1850"/>
      <c r="AN644" s="2034"/>
      <c r="AO644" s="1749">
        <f>AO642+AO643</f>
        <v>24107565</v>
      </c>
      <c r="AP644" s="1750"/>
      <c r="AQ644" s="1750"/>
      <c r="AR644" s="1750"/>
      <c r="AS644" s="1751"/>
      <c r="AT644" s="75"/>
      <c r="AU644" s="75"/>
      <c r="AV644" s="75"/>
      <c r="AW644" s="75"/>
      <c r="AX644" s="75"/>
      <c r="AY644" s="75"/>
      <c r="AZ644" s="75"/>
      <c r="BN644" s="1836">
        <f>SUM(BN634:BR643)</f>
        <v>0</v>
      </c>
      <c r="BO644" s="1837"/>
      <c r="BP644" s="1837"/>
      <c r="BQ644" s="1837"/>
      <c r="BR644" s="1838"/>
      <c r="BS644" s="1836">
        <f>SUM(BS634:BW643)</f>
        <v>0</v>
      </c>
      <c r="BT644" s="1837"/>
      <c r="BU644" s="1837"/>
      <c r="BV644" s="1837"/>
      <c r="BW644" s="1838"/>
      <c r="BX644" s="1836">
        <f>SUM(BX634:CB643)</f>
        <v>0</v>
      </c>
      <c r="BY644" s="1837"/>
      <c r="BZ644" s="1837"/>
      <c r="CA644" s="1837"/>
      <c r="CB644" s="1838"/>
      <c r="CC644" s="1836">
        <f>SUM(CC634:CG643)</f>
        <v>0</v>
      </c>
      <c r="CD644" s="1837"/>
      <c r="CE644" s="1837"/>
      <c r="CF644" s="1837"/>
      <c r="CG644" s="1838"/>
      <c r="CH644" s="1836">
        <f>SUM(CH634:CL643)</f>
        <v>0</v>
      </c>
      <c r="CI644" s="1837"/>
      <c r="CJ644" s="1837"/>
      <c r="CK644" s="1837"/>
      <c r="CL644" s="1838"/>
      <c r="CM644" s="1836">
        <f>SUM(CM634:CQ643)</f>
        <v>0</v>
      </c>
      <c r="CN644" s="1837"/>
      <c r="CO644" s="1837"/>
      <c r="CP644" s="1837"/>
      <c r="CQ644" s="1838"/>
      <c r="CR644" s="72"/>
      <c r="CS644" s="72"/>
    </row>
    <row r="645" spans="1:97" ht="13.8" thickBot="1">
      <c r="A645" s="46"/>
      <c r="B645" s="35"/>
      <c r="C645" s="35"/>
      <c r="D645" s="35"/>
      <c r="E645" s="35"/>
      <c r="F645" s="35"/>
      <c r="G645" s="35"/>
      <c r="H645" s="35"/>
      <c r="I645" s="35"/>
      <c r="J645" s="35"/>
      <c r="K645" s="103"/>
      <c r="L645" s="104"/>
      <c r="M645" s="104"/>
      <c r="N645" s="104"/>
      <c r="O645" s="104"/>
      <c r="P645" s="104"/>
      <c r="Q645" s="104"/>
      <c r="R645" s="104"/>
      <c r="S645" s="35"/>
      <c r="T645" s="35"/>
      <c r="U645" s="35"/>
      <c r="V645" s="35"/>
      <c r="W645" s="35"/>
      <c r="X645" s="35"/>
      <c r="Y645" s="35"/>
      <c r="Z645" s="35"/>
      <c r="AA645" s="35"/>
      <c r="AB645" s="35"/>
      <c r="AC645" s="103"/>
      <c r="AD645" s="104"/>
      <c r="AE645" s="104"/>
      <c r="AF645" s="104"/>
      <c r="AG645" s="104"/>
      <c r="AH645" s="104"/>
      <c r="AI645" s="104"/>
      <c r="AJ645" s="104"/>
      <c r="AM645" s="75"/>
      <c r="AN645" s="75"/>
      <c r="AO645" s="75"/>
      <c r="AP645" s="75"/>
      <c r="AQ645" s="75"/>
      <c r="AR645" s="75"/>
      <c r="AS645" s="75"/>
      <c r="AT645" s="75"/>
      <c r="AU645" s="75"/>
      <c r="AV645" s="75"/>
      <c r="AW645" s="75"/>
      <c r="AX645" s="75"/>
      <c r="AY645" s="75"/>
      <c r="AZ645" s="75"/>
      <c r="BN645" s="72" t="s">
        <v>1948</v>
      </c>
      <c r="BO645" s="72"/>
      <c r="BP645" s="72"/>
      <c r="BQ645" s="72"/>
      <c r="BR645" s="737">
        <f>BN644*1</f>
        <v>0</v>
      </c>
      <c r="BS645" s="72"/>
      <c r="BT645" s="72"/>
      <c r="BU645" s="72"/>
      <c r="BV645" s="72"/>
      <c r="BW645" s="737">
        <f>BS644*1</f>
        <v>0</v>
      </c>
      <c r="BX645" s="72"/>
      <c r="BY645" s="72"/>
      <c r="BZ645" s="72"/>
      <c r="CA645" s="72"/>
      <c r="CB645" s="737">
        <f>BX644*2</f>
        <v>0</v>
      </c>
      <c r="CC645" s="72"/>
      <c r="CD645" s="72"/>
      <c r="CE645" s="72"/>
      <c r="CF645" s="72"/>
      <c r="CG645" s="737">
        <f>CC644*3</f>
        <v>0</v>
      </c>
      <c r="CH645" s="72"/>
      <c r="CI645" s="72"/>
      <c r="CJ645" s="72"/>
      <c r="CK645" s="72"/>
      <c r="CL645" s="737">
        <f>CH644*4</f>
        <v>0</v>
      </c>
      <c r="CM645" s="72"/>
      <c r="CN645" s="72"/>
      <c r="CO645" s="72"/>
      <c r="CP645" s="72"/>
      <c r="CQ645" s="736">
        <f>CM644*5</f>
        <v>0</v>
      </c>
      <c r="CR645" s="72"/>
      <c r="CS645" s="72"/>
    </row>
    <row r="646" spans="1:97" ht="13.8" thickBot="1">
      <c r="A646" s="101" t="s">
        <v>1004</v>
      </c>
      <c r="B646" s="16" t="s">
        <v>93</v>
      </c>
      <c r="G646" s="1791" t="str">
        <f>C630</f>
        <v>City of Fresno HOME Loan</v>
      </c>
      <c r="H646" s="1791"/>
      <c r="I646" s="1791"/>
      <c r="J646" s="1791"/>
      <c r="K646" s="1791"/>
      <c r="L646" s="1791"/>
      <c r="M646" s="1791"/>
      <c r="N646" s="1791"/>
      <c r="O646" s="1791"/>
      <c r="P646" s="1791"/>
      <c r="Q646" s="1791"/>
      <c r="R646" s="1791"/>
      <c r="S646" s="18"/>
      <c r="T646" s="101" t="s">
        <v>1005</v>
      </c>
      <c r="U646" s="16" t="s">
        <v>93</v>
      </c>
      <c r="Z646" s="1791">
        <f>C631</f>
        <v>0</v>
      </c>
      <c r="AA646" s="1791"/>
      <c r="AB646" s="1791"/>
      <c r="AC646" s="1791"/>
      <c r="AD646" s="1791"/>
      <c r="AE646" s="1791"/>
      <c r="AF646" s="1791"/>
      <c r="AG646" s="1791"/>
      <c r="AH646" s="1791"/>
      <c r="AI646" s="1791"/>
      <c r="AJ646" s="1791"/>
      <c r="AK646" s="1791"/>
      <c r="AM646" s="75"/>
      <c r="AN646" s="75"/>
      <c r="AO646" s="75"/>
      <c r="AP646" s="75"/>
      <c r="AQ646" s="75"/>
      <c r="AR646" s="75"/>
      <c r="AS646" s="75"/>
      <c r="AT646" s="75"/>
      <c r="AU646" s="75"/>
      <c r="AV646" s="75"/>
      <c r="AW646" s="75"/>
      <c r="AX646" s="75"/>
      <c r="AY646" s="75"/>
      <c r="AZ646" s="75"/>
      <c r="CP646" s="1404" t="s">
        <v>1947</v>
      </c>
      <c r="CQ646" s="738">
        <f>BN644+BS644+BX644+CC644+CH644+CM644</f>
        <v>0</v>
      </c>
      <c r="CR646" s="72"/>
      <c r="CS646" s="72"/>
    </row>
    <row r="647" spans="1:97" ht="13.8" thickBot="1">
      <c r="A647" s="46"/>
      <c r="B647" s="16" t="s">
        <v>416</v>
      </c>
      <c r="G647" s="1788" t="s">
        <v>2336</v>
      </c>
      <c r="H647" s="1788"/>
      <c r="I647" s="1788"/>
      <c r="J647" s="1788"/>
      <c r="K647" s="1788"/>
      <c r="L647" s="1788"/>
      <c r="M647" s="1788"/>
      <c r="N647" s="1788"/>
      <c r="O647" s="1788"/>
      <c r="P647" s="1788"/>
      <c r="Q647" s="1788"/>
      <c r="R647" s="1788"/>
      <c r="S647" s="18"/>
      <c r="T647" s="46"/>
      <c r="U647" s="16" t="s">
        <v>416</v>
      </c>
      <c r="Z647" s="1788"/>
      <c r="AA647" s="1788"/>
      <c r="AB647" s="1788"/>
      <c r="AC647" s="1788"/>
      <c r="AD647" s="1788"/>
      <c r="AE647" s="1788"/>
      <c r="AF647" s="1788"/>
      <c r="AG647" s="1788"/>
      <c r="AH647" s="1788"/>
      <c r="AI647" s="1788"/>
      <c r="AJ647" s="1788"/>
      <c r="AK647" s="1788"/>
      <c r="AM647" s="75"/>
      <c r="AN647" s="75"/>
      <c r="AO647" s="75"/>
      <c r="AP647" s="75"/>
      <c r="AQ647" s="75"/>
      <c r="AR647" s="75"/>
      <c r="AS647" s="75"/>
      <c r="AT647" s="75"/>
      <c r="AU647" s="75"/>
      <c r="AV647" s="75"/>
      <c r="AW647" s="75"/>
      <c r="AX647" s="75"/>
      <c r="AY647" s="75"/>
      <c r="AZ647" s="75"/>
      <c r="CR647" s="72"/>
      <c r="CS647" s="72"/>
    </row>
    <row r="648" spans="1:97" ht="13.8" thickBot="1">
      <c r="A648" s="46"/>
      <c r="B648" s="16" t="s">
        <v>479</v>
      </c>
      <c r="G648" s="1788" t="s">
        <v>439</v>
      </c>
      <c r="H648" s="1788"/>
      <c r="I648" s="1788"/>
      <c r="J648" s="1788"/>
      <c r="K648" s="1788"/>
      <c r="L648" s="1788"/>
      <c r="M648" s="1788"/>
      <c r="N648" s="1788"/>
      <c r="O648" s="1788"/>
      <c r="P648" s="1788"/>
      <c r="Q648" s="1788"/>
      <c r="R648" s="1788"/>
      <c r="S648" s="102"/>
      <c r="T648" s="46"/>
      <c r="U648" s="16" t="s">
        <v>479</v>
      </c>
      <c r="Z648" s="1796"/>
      <c r="AA648" s="1796"/>
      <c r="AB648" s="1796"/>
      <c r="AC648" s="1796"/>
      <c r="AD648" s="1796"/>
      <c r="AE648" s="1796"/>
      <c r="AF648" s="1796"/>
      <c r="AG648" s="1796"/>
      <c r="AH648" s="1796"/>
      <c r="AI648" s="1796"/>
      <c r="AJ648" s="1796"/>
      <c r="AK648" s="1796"/>
      <c r="AM648" s="75"/>
      <c r="AN648" s="75"/>
      <c r="AO648" s="75"/>
      <c r="AP648" s="75"/>
      <c r="AQ648" s="75"/>
      <c r="AR648" s="75"/>
      <c r="AS648" s="75"/>
      <c r="AT648" s="75"/>
      <c r="AU648" s="75"/>
      <c r="AV648" s="75"/>
      <c r="AW648" s="75"/>
      <c r="AX648" s="75"/>
      <c r="AY648" s="75"/>
      <c r="AZ648" s="75"/>
      <c r="CP648" s="1404" t="s">
        <v>1949</v>
      </c>
      <c r="CQ648" s="738">
        <f>CQ646+CQ627</f>
        <v>58</v>
      </c>
      <c r="CR648" s="72"/>
      <c r="CS648" s="72"/>
    </row>
    <row r="649" spans="1:97" ht="13.2">
      <c r="A649" s="46"/>
      <c r="B649" s="16" t="s">
        <v>915</v>
      </c>
      <c r="G649" s="1788" t="s">
        <v>2432</v>
      </c>
      <c r="H649" s="1788"/>
      <c r="I649" s="1788"/>
      <c r="J649" s="1788"/>
      <c r="K649" s="1788"/>
      <c r="L649" s="1788"/>
      <c r="M649" s="1788"/>
      <c r="N649" s="1788"/>
      <c r="O649" s="1788"/>
      <c r="P649" s="1788"/>
      <c r="Q649" s="1788"/>
      <c r="R649" s="1788"/>
      <c r="S649" s="18"/>
      <c r="T649" s="46"/>
      <c r="U649" s="16" t="s">
        <v>915</v>
      </c>
      <c r="Z649" s="1796"/>
      <c r="AA649" s="1796"/>
      <c r="AB649" s="1796"/>
      <c r="AC649" s="1796"/>
      <c r="AD649" s="1796"/>
      <c r="AE649" s="1796"/>
      <c r="AF649" s="1796"/>
      <c r="AG649" s="1796"/>
      <c r="AH649" s="1796"/>
      <c r="AI649" s="1796"/>
      <c r="AJ649" s="1796"/>
      <c r="AK649" s="1796"/>
      <c r="AM649" s="75"/>
      <c r="AN649" s="75"/>
      <c r="AO649" s="75"/>
      <c r="AP649" s="75"/>
      <c r="AQ649" s="75"/>
      <c r="AR649" s="75"/>
      <c r="AS649" s="75"/>
      <c r="AT649" s="75"/>
      <c r="AU649" s="75"/>
      <c r="AV649" s="75"/>
      <c r="AW649" s="75"/>
      <c r="AX649" s="75"/>
      <c r="AY649" s="75"/>
      <c r="AZ649" s="75"/>
      <c r="BN649" s="75" t="s">
        <v>950</v>
      </c>
      <c r="BO649" s="72"/>
      <c r="BP649" s="72"/>
      <c r="BQ649" s="72"/>
      <c r="BR649" s="72"/>
      <c r="BS649" s="72"/>
      <c r="BT649" s="72"/>
      <c r="BU649" s="72"/>
      <c r="BV649" s="72"/>
      <c r="BW649" s="72"/>
      <c r="BX649" s="72"/>
      <c r="BY649" s="72"/>
      <c r="BZ649" s="72"/>
      <c r="CA649" s="72"/>
      <c r="CB649" s="72"/>
      <c r="CC649" s="72"/>
      <c r="CD649" s="72"/>
      <c r="CE649" s="72"/>
      <c r="CF649" s="72"/>
      <c r="CG649" s="72"/>
      <c r="CH649" s="72"/>
      <c r="CI649" s="72"/>
      <c r="CJ649" s="72"/>
      <c r="CK649" s="72"/>
      <c r="CL649" s="72"/>
      <c r="CM649" s="72"/>
      <c r="CN649" s="72"/>
      <c r="CO649" s="72"/>
      <c r="CP649" s="72"/>
      <c r="CQ649" s="72"/>
      <c r="CR649" s="72"/>
      <c r="CS649" s="72"/>
    </row>
    <row r="650" spans="1:97" ht="13.2">
      <c r="A650" s="46"/>
      <c r="B650" s="16" t="s">
        <v>716</v>
      </c>
      <c r="G650" s="1790" t="s">
        <v>2433</v>
      </c>
      <c r="H650" s="1790"/>
      <c r="I650" s="1790"/>
      <c r="J650" s="1790"/>
      <c r="K650" s="1790"/>
      <c r="L650" s="1790"/>
      <c r="O650" s="149" t="s">
        <v>900</v>
      </c>
      <c r="P650" s="1785"/>
      <c r="Q650" s="1785"/>
      <c r="R650" s="1785"/>
      <c r="S650" s="20"/>
      <c r="T650" s="46"/>
      <c r="U650" s="16" t="s">
        <v>716</v>
      </c>
      <c r="Z650" s="1789"/>
      <c r="AA650" s="1790"/>
      <c r="AB650" s="1790"/>
      <c r="AC650" s="1790"/>
      <c r="AD650" s="1790"/>
      <c r="AE650" s="1790"/>
      <c r="AH650" s="149" t="s">
        <v>900</v>
      </c>
      <c r="AI650" s="1785"/>
      <c r="AJ650" s="1785"/>
      <c r="AK650" s="1785"/>
      <c r="AM650" s="75"/>
      <c r="AN650" s="75"/>
      <c r="AO650" s="75"/>
      <c r="AP650" s="75"/>
      <c r="AQ650" s="75"/>
      <c r="AR650" s="75"/>
      <c r="AS650" s="75"/>
      <c r="AT650" s="75"/>
      <c r="AU650" s="75"/>
      <c r="AV650" s="75"/>
      <c r="AW650" s="75"/>
      <c r="AX650" s="75"/>
      <c r="AY650" s="75"/>
      <c r="AZ650" s="75"/>
      <c r="BN650" s="1836">
        <f>BN625+BN632+BN644</f>
        <v>15</v>
      </c>
      <c r="BO650" s="1837"/>
      <c r="BP650" s="1837"/>
      <c r="BQ650" s="1837"/>
      <c r="BR650" s="1838"/>
      <c r="BS650" s="1836">
        <f>BS625+BS632+BS644</f>
        <v>12</v>
      </c>
      <c r="BT650" s="1837"/>
      <c r="BU650" s="1837"/>
      <c r="BV650" s="1837"/>
      <c r="BW650" s="1838"/>
      <c r="BX650" s="1836">
        <f>BX625+BX632+BX644</f>
        <v>8</v>
      </c>
      <c r="BY650" s="1837"/>
      <c r="BZ650" s="1837"/>
      <c r="CA650" s="1837"/>
      <c r="CB650" s="1838"/>
      <c r="CC650" s="1836">
        <f>CC625+CC632+CC644</f>
        <v>6</v>
      </c>
      <c r="CD650" s="1837"/>
      <c r="CE650" s="1837"/>
      <c r="CF650" s="1837"/>
      <c r="CG650" s="1838"/>
      <c r="CH650" s="1836">
        <f>CH625+CH632+CH644</f>
        <v>0</v>
      </c>
      <c r="CI650" s="1837"/>
      <c r="CJ650" s="1837"/>
      <c r="CK650" s="1837"/>
      <c r="CL650" s="1838"/>
      <c r="CM650" s="1839">
        <f>CM644+CM632+CM625</f>
        <v>0</v>
      </c>
      <c r="CN650" s="1840"/>
      <c r="CO650" s="1840"/>
      <c r="CP650" s="1840"/>
      <c r="CQ650" s="1841"/>
      <c r="CR650" s="72"/>
      <c r="CS650" s="72"/>
    </row>
    <row r="651" spans="1:97" ht="13.2">
      <c r="A651" s="46"/>
      <c r="B651" s="16" t="s">
        <v>916</v>
      </c>
      <c r="H651" s="1787" t="s">
        <v>2428</v>
      </c>
      <c r="I651" s="1788"/>
      <c r="J651" s="1788"/>
      <c r="K651" s="1788"/>
      <c r="L651" s="1788"/>
      <c r="M651" s="1788"/>
      <c r="N651" s="1788"/>
      <c r="O651" s="1788"/>
      <c r="P651" s="1788"/>
      <c r="Q651" s="1788"/>
      <c r="R651" s="1788"/>
      <c r="S651" s="18"/>
      <c r="T651" s="46"/>
      <c r="U651" s="16" t="s">
        <v>916</v>
      </c>
      <c r="AA651" s="1787"/>
      <c r="AB651" s="1788"/>
      <c r="AC651" s="1788"/>
      <c r="AD651" s="1788"/>
      <c r="AE651" s="1788"/>
      <c r="AF651" s="1788"/>
      <c r="AG651" s="1788"/>
      <c r="AH651" s="1788"/>
      <c r="AI651" s="1788"/>
      <c r="AJ651" s="1788"/>
      <c r="AK651" s="1788"/>
      <c r="AM651" s="75"/>
      <c r="AN651" s="75"/>
      <c r="AO651" s="75"/>
      <c r="AP651" s="75"/>
      <c r="AQ651" s="75"/>
      <c r="AR651" s="75"/>
      <c r="AS651" s="75"/>
      <c r="AT651" s="75"/>
      <c r="AU651" s="75"/>
      <c r="AV651" s="75"/>
      <c r="AW651" s="75"/>
      <c r="AX651" s="75"/>
      <c r="AY651" s="75"/>
      <c r="AZ651" s="75"/>
      <c r="CM651" s="72"/>
      <c r="CN651" s="72"/>
      <c r="CO651" s="72"/>
      <c r="CP651" s="72"/>
      <c r="CQ651" s="72"/>
      <c r="CR651" s="72"/>
      <c r="CS651" s="72"/>
    </row>
    <row r="652" spans="1:97" ht="13.2">
      <c r="A652" s="8"/>
      <c r="B652" s="16" t="s">
        <v>918</v>
      </c>
      <c r="N652" s="1786" t="s">
        <v>119</v>
      </c>
      <c r="O652" s="1786"/>
      <c r="T652" s="46"/>
      <c r="U652" s="16" t="s">
        <v>918</v>
      </c>
      <c r="AG652" s="1786" t="s">
        <v>531</v>
      </c>
      <c r="AH652" s="1786"/>
      <c r="AM652" s="75"/>
      <c r="AN652" s="75"/>
      <c r="AO652" s="75"/>
      <c r="AP652" s="75"/>
      <c r="AQ652" s="75"/>
      <c r="AR652" s="75"/>
      <c r="AS652" s="75"/>
      <c r="AT652" s="75"/>
      <c r="AU652" s="75"/>
      <c r="AV652" s="75"/>
      <c r="AW652" s="75"/>
      <c r="AX652" s="75"/>
      <c r="AY652" s="75"/>
      <c r="AZ652" s="75"/>
      <c r="BA652" s="75"/>
      <c r="BB652" s="72"/>
      <c r="BC652" s="72"/>
      <c r="BD652" s="72"/>
      <c r="BE652" s="72"/>
      <c r="BF652" s="72"/>
      <c r="BG652" s="72"/>
      <c r="BH652" s="72"/>
      <c r="BI652" s="72"/>
      <c r="BJ652" s="72"/>
      <c r="BK652" s="72"/>
      <c r="BL652" s="72"/>
      <c r="BM652" s="72"/>
      <c r="BN652" s="72"/>
      <c r="BO652" s="72"/>
      <c r="BP652" s="72"/>
      <c r="BQ652" s="72"/>
      <c r="BR652" s="72"/>
      <c r="BS652" s="72"/>
      <c r="BT652" s="72"/>
      <c r="BU652" s="72"/>
      <c r="BV652" s="72"/>
      <c r="BW652" s="72"/>
      <c r="BX652" s="72"/>
      <c r="BY652" s="72"/>
      <c r="BZ652" s="72"/>
      <c r="CA652" s="72"/>
      <c r="CB652" s="72"/>
      <c r="CC652" s="72"/>
      <c r="CD652" s="72"/>
      <c r="CE652" s="72"/>
      <c r="CF652" s="72"/>
      <c r="CG652" s="72"/>
      <c r="CH652" s="72"/>
      <c r="CI652" s="72"/>
      <c r="CJ652" s="72"/>
      <c r="CK652" s="72"/>
      <c r="CL652" s="72"/>
      <c r="CM652" s="72"/>
      <c r="CN652" s="72"/>
      <c r="CO652" s="72"/>
      <c r="CP652" s="72"/>
      <c r="CQ652" s="72"/>
      <c r="CR652" s="72"/>
      <c r="CS652" s="72"/>
    </row>
    <row r="653" spans="1:97" ht="13.2">
      <c r="A653" s="46"/>
      <c r="T653" s="46"/>
      <c r="AM653" s="75"/>
      <c r="AN653" s="75"/>
      <c r="AO653" s="75"/>
      <c r="AP653" s="75"/>
      <c r="AQ653" s="75"/>
      <c r="AR653" s="75"/>
      <c r="AS653" s="75"/>
      <c r="AT653" s="75"/>
      <c r="AU653" s="75"/>
      <c r="AV653" s="75"/>
      <c r="AW653" s="75"/>
      <c r="AX653" s="75"/>
      <c r="AY653" s="75"/>
      <c r="AZ653" s="75"/>
      <c r="BA653" s="75"/>
      <c r="BB653" s="72"/>
      <c r="BC653" s="72"/>
      <c r="BD653" s="72"/>
      <c r="BE653" s="72"/>
      <c r="BF653" s="72"/>
      <c r="BG653" s="72"/>
      <c r="BH653" s="72"/>
      <c r="BI653" s="72"/>
      <c r="BJ653" s="72"/>
      <c r="BK653" s="72"/>
      <c r="BL653" s="72"/>
      <c r="BM653" s="72"/>
      <c r="BN653" s="72"/>
      <c r="BO653" s="72"/>
      <c r="BP653" s="72"/>
      <c r="BQ653" s="72"/>
      <c r="BR653" s="72"/>
      <c r="BS653" s="72"/>
      <c r="BT653" s="72"/>
      <c r="BU653" s="72"/>
      <c r="BV653" s="72"/>
      <c r="BW653" s="72"/>
      <c r="BX653" s="72"/>
      <c r="BY653" s="72"/>
      <c r="BZ653" s="72"/>
      <c r="CA653" s="72"/>
      <c r="CB653" s="72"/>
      <c r="CC653" s="72"/>
      <c r="CD653" s="72"/>
      <c r="CE653" s="72"/>
      <c r="CF653" s="72"/>
      <c r="CG653" s="72"/>
      <c r="CH653" s="72"/>
      <c r="CI653" s="72"/>
      <c r="CJ653" s="72"/>
      <c r="CK653" s="72"/>
      <c r="CL653" s="72"/>
      <c r="CM653" s="72"/>
      <c r="CN653" s="72"/>
      <c r="CO653" s="72"/>
      <c r="CP653" s="72"/>
      <c r="CQ653" s="72"/>
      <c r="CR653" s="72"/>
      <c r="CS653" s="72"/>
    </row>
    <row r="654" spans="1:97" ht="13.2">
      <c r="A654" s="101" t="s">
        <v>1011</v>
      </c>
      <c r="B654" s="16" t="s">
        <v>93</v>
      </c>
      <c r="G654" s="1791" t="str">
        <f>C632</f>
        <v>Fresno HA Loan</v>
      </c>
      <c r="H654" s="1791"/>
      <c r="I654" s="1791"/>
      <c r="J654" s="1791"/>
      <c r="K654" s="1791"/>
      <c r="L654" s="1791"/>
      <c r="M654" s="1791"/>
      <c r="N654" s="1791"/>
      <c r="O654" s="1791"/>
      <c r="P654" s="1791"/>
      <c r="Q654" s="1791"/>
      <c r="R654" s="1791"/>
      <c r="T654" s="101" t="s">
        <v>480</v>
      </c>
      <c r="U654" s="16" t="s">
        <v>93</v>
      </c>
      <c r="Z654" s="1791" t="str">
        <f>C633</f>
        <v>HCD IIG (Sponsor Loan)</v>
      </c>
      <c r="AA654" s="1791"/>
      <c r="AB654" s="1791"/>
      <c r="AC654" s="1791"/>
      <c r="AD654" s="1791"/>
      <c r="AE654" s="1791"/>
      <c r="AF654" s="1791"/>
      <c r="AG654" s="1791"/>
      <c r="AH654" s="1791"/>
      <c r="AI654" s="1791"/>
      <c r="AJ654" s="1791"/>
      <c r="AK654" s="1791"/>
      <c r="AM654" s="75"/>
      <c r="AN654" s="75"/>
      <c r="AO654" s="75"/>
      <c r="AP654" s="75"/>
      <c r="AQ654" s="75"/>
      <c r="AR654" s="75"/>
      <c r="AS654" s="75"/>
      <c r="AT654" s="75"/>
      <c r="AU654" s="75"/>
      <c r="AV654" s="75"/>
      <c r="AW654" s="75"/>
      <c r="AX654" s="75"/>
      <c r="AY654" s="75"/>
      <c r="AZ654" s="75"/>
      <c r="BA654" s="75"/>
      <c r="BB654" s="72"/>
      <c r="BC654" s="72"/>
      <c r="BD654" s="72"/>
      <c r="BE654" s="72"/>
      <c r="BF654" s="72"/>
      <c r="BG654" s="72"/>
      <c r="BH654" s="72"/>
      <c r="BI654" s="72"/>
      <c r="BJ654" s="72"/>
      <c r="BK654" s="72"/>
      <c r="BL654" s="72"/>
      <c r="BM654" s="72"/>
      <c r="BN654" s="72"/>
      <c r="BO654" s="72"/>
      <c r="BP654" s="72"/>
      <c r="BQ654" s="72"/>
      <c r="BR654" s="72"/>
      <c r="BS654" s="72"/>
      <c r="BT654" s="72"/>
      <c r="BU654" s="72"/>
      <c r="BV654" s="72"/>
      <c r="BW654" s="72"/>
      <c r="BX654" s="72"/>
      <c r="BY654" s="72"/>
      <c r="BZ654" s="72"/>
      <c r="CA654" s="72"/>
      <c r="CB654" s="72"/>
      <c r="CC654" s="72"/>
      <c r="CD654" s="72"/>
      <c r="CE654" s="72"/>
      <c r="CF654" s="72"/>
      <c r="CG654" s="72"/>
      <c r="CH654" s="72"/>
      <c r="CI654" s="72"/>
      <c r="CJ654" s="72"/>
      <c r="CK654" s="72"/>
      <c r="CL654" s="72"/>
      <c r="CM654" s="72"/>
      <c r="CN654" s="72"/>
      <c r="CO654" s="72"/>
      <c r="CP654" s="72"/>
      <c r="CQ654" s="72"/>
      <c r="CR654" s="72"/>
      <c r="CS654" s="72"/>
    </row>
    <row r="655" spans="1:97" ht="13.2">
      <c r="A655" s="46"/>
      <c r="B655" s="16" t="s">
        <v>416</v>
      </c>
      <c r="G655" s="1787" t="s">
        <v>2342</v>
      </c>
      <c r="H655" s="1788"/>
      <c r="I655" s="1788"/>
      <c r="J655" s="1788"/>
      <c r="K655" s="1788"/>
      <c r="L655" s="1788"/>
      <c r="M655" s="1788"/>
      <c r="N655" s="1788"/>
      <c r="O655" s="1788"/>
      <c r="P655" s="1788"/>
      <c r="Q655" s="1788"/>
      <c r="R655" s="1788"/>
      <c r="T655" s="46"/>
      <c r="U655" s="16" t="s">
        <v>416</v>
      </c>
      <c r="Z655" s="1787" t="s">
        <v>2342</v>
      </c>
      <c r="AA655" s="1788"/>
      <c r="AB655" s="1788"/>
      <c r="AC655" s="1788"/>
      <c r="AD655" s="1788"/>
      <c r="AE655" s="1788"/>
      <c r="AF655" s="1788"/>
      <c r="AG655" s="1788"/>
      <c r="AH655" s="1788"/>
      <c r="AI655" s="1788"/>
      <c r="AJ655" s="1788"/>
      <c r="AK655" s="1788"/>
      <c r="AM655" s="72"/>
      <c r="AN655" s="72"/>
      <c r="AO655" s="72"/>
      <c r="AP655" s="72"/>
      <c r="AQ655" s="72"/>
      <c r="AR655" s="72"/>
      <c r="AS655" s="72"/>
      <c r="AT655" s="72"/>
      <c r="AU655" s="72"/>
      <c r="AV655" s="72"/>
      <c r="AW655" s="72"/>
      <c r="AX655" s="72"/>
      <c r="AY655" s="72"/>
      <c r="AZ655" s="72"/>
      <c r="BA655" s="72"/>
      <c r="BB655" s="72"/>
      <c r="BC655" s="72"/>
      <c r="BD655" s="72"/>
      <c r="BE655" s="72"/>
      <c r="BF655" s="72"/>
      <c r="BG655" s="72"/>
      <c r="BH655" s="72"/>
      <c r="BI655" s="72"/>
      <c r="BJ655" s="72"/>
      <c r="BK655" s="72"/>
      <c r="BL655" s="72"/>
      <c r="BM655" s="72"/>
      <c r="BN655" s="72"/>
      <c r="BO655" s="72"/>
      <c r="BP655" s="72"/>
      <c r="BQ655" s="72"/>
      <c r="BR655" s="72"/>
      <c r="BS655" s="72"/>
      <c r="BT655" s="72"/>
      <c r="BU655" s="72"/>
      <c r="BV655" s="72"/>
      <c r="BW655" s="72"/>
      <c r="BX655" s="72"/>
      <c r="BY655" s="72"/>
      <c r="BZ655" s="72"/>
      <c r="CA655" s="72"/>
      <c r="CB655" s="72"/>
      <c r="CC655" s="72"/>
      <c r="CD655" s="72"/>
      <c r="CE655" s="72"/>
      <c r="CF655" s="72"/>
      <c r="CG655" s="72"/>
      <c r="CH655" s="72"/>
      <c r="CI655" s="72"/>
      <c r="CJ655" s="72"/>
      <c r="CK655" s="72"/>
      <c r="CL655" s="72"/>
      <c r="CM655" s="72"/>
      <c r="CN655" s="72"/>
      <c r="CO655" s="72"/>
      <c r="CP655" s="72"/>
      <c r="CQ655" s="72"/>
      <c r="CR655" s="72"/>
      <c r="CS655" s="72"/>
    </row>
    <row r="656" spans="1:97" ht="13.2">
      <c r="A656" s="46"/>
      <c r="B656" s="16" t="s">
        <v>479</v>
      </c>
      <c r="G656" s="1797" t="s">
        <v>2426</v>
      </c>
      <c r="H656" s="1796"/>
      <c r="I656" s="1796"/>
      <c r="J656" s="1796"/>
      <c r="K656" s="1796"/>
      <c r="L656" s="1796"/>
      <c r="M656" s="1796"/>
      <c r="N656" s="1796"/>
      <c r="O656" s="1796"/>
      <c r="P656" s="1796"/>
      <c r="Q656" s="1796"/>
      <c r="R656" s="1796"/>
      <c r="T656" s="46"/>
      <c r="U656" s="16" t="s">
        <v>479</v>
      </c>
      <c r="Z656" s="1797" t="s">
        <v>439</v>
      </c>
      <c r="AA656" s="1796"/>
      <c r="AB656" s="1796"/>
      <c r="AC656" s="1796"/>
      <c r="AD656" s="1796"/>
      <c r="AE656" s="1796"/>
      <c r="AF656" s="1796"/>
      <c r="AG656" s="1796"/>
      <c r="AH656" s="1796"/>
      <c r="AI656" s="1796"/>
      <c r="AJ656" s="1796"/>
      <c r="AK656" s="1796"/>
      <c r="AM656" s="72"/>
      <c r="AN656" s="72"/>
      <c r="AO656" s="72"/>
      <c r="AP656" s="72"/>
      <c r="AQ656" s="72"/>
      <c r="AR656" s="72"/>
      <c r="AS656" s="72"/>
      <c r="AT656" s="72"/>
      <c r="AU656" s="72"/>
      <c r="AV656" s="72"/>
      <c r="AW656" s="72"/>
      <c r="AX656" s="72"/>
      <c r="AY656" s="72"/>
      <c r="AZ656" s="72"/>
      <c r="BA656" s="72"/>
      <c r="BB656" s="72"/>
      <c r="BC656" s="72"/>
      <c r="BD656" s="72"/>
      <c r="BE656" s="72"/>
      <c r="BF656" s="72"/>
      <c r="BG656" s="72"/>
      <c r="BH656" s="72"/>
      <c r="BI656" s="72"/>
      <c r="BJ656" s="72"/>
      <c r="BK656" s="72"/>
      <c r="BL656" s="72"/>
      <c r="BM656" s="72"/>
      <c r="BN656" s="72"/>
      <c r="BO656" s="72"/>
      <c r="BP656" s="72"/>
      <c r="BQ656" s="72"/>
      <c r="BR656" s="72"/>
      <c r="BS656" s="72"/>
      <c r="BT656" s="72"/>
      <c r="BU656" s="72"/>
      <c r="BV656" s="72"/>
      <c r="BW656" s="72"/>
      <c r="BX656" s="72"/>
      <c r="BY656" s="72"/>
      <c r="BZ656" s="72"/>
      <c r="CA656" s="72"/>
      <c r="CB656" s="72"/>
      <c r="CC656" s="72"/>
      <c r="CD656" s="72"/>
      <c r="CE656" s="72"/>
      <c r="CF656" s="72"/>
      <c r="CG656" s="72"/>
      <c r="CH656" s="72"/>
      <c r="CI656" s="72"/>
      <c r="CJ656" s="72"/>
      <c r="CK656" s="72"/>
      <c r="CL656" s="72"/>
      <c r="CM656" s="72"/>
      <c r="CN656" s="72"/>
      <c r="CO656" s="72"/>
      <c r="CP656" s="72"/>
      <c r="CQ656" s="72"/>
      <c r="CR656" s="72"/>
      <c r="CS656" s="72"/>
    </row>
    <row r="657" spans="1:97" ht="13.2">
      <c r="A657" s="46"/>
      <c r="B657" s="16" t="s">
        <v>915</v>
      </c>
      <c r="G657" s="1797" t="s">
        <v>2506</v>
      </c>
      <c r="H657" s="1796"/>
      <c r="I657" s="1796"/>
      <c r="J657" s="1796"/>
      <c r="K657" s="1796"/>
      <c r="L657" s="1796"/>
      <c r="M657" s="1796"/>
      <c r="N657" s="1796"/>
      <c r="O657" s="1796"/>
      <c r="P657" s="1796"/>
      <c r="Q657" s="1796"/>
      <c r="R657" s="1796"/>
      <c r="T657" s="46"/>
      <c r="U657" s="16" t="s">
        <v>915</v>
      </c>
      <c r="Z657" s="1797" t="s">
        <v>2506</v>
      </c>
      <c r="AA657" s="1796"/>
      <c r="AB657" s="1796"/>
      <c r="AC657" s="1796"/>
      <c r="AD657" s="1796"/>
      <c r="AE657" s="1796"/>
      <c r="AF657" s="1796"/>
      <c r="AG657" s="1796"/>
      <c r="AH657" s="1796"/>
      <c r="AI657" s="1796"/>
      <c r="AJ657" s="1796"/>
      <c r="AK657" s="1796"/>
      <c r="AL657" s="35"/>
      <c r="AM657" s="72"/>
      <c r="AN657" s="72"/>
      <c r="AO657" s="72"/>
      <c r="AP657" s="72"/>
      <c r="AQ657" s="72"/>
      <c r="AR657" s="72"/>
      <c r="AS657" s="72"/>
      <c r="AT657" s="72"/>
      <c r="AU657" s="72"/>
      <c r="AV657" s="72"/>
      <c r="AW657" s="72"/>
      <c r="AX657" s="72"/>
      <c r="AY657" s="72"/>
      <c r="AZ657" s="72"/>
      <c r="BA657" s="72"/>
      <c r="BB657" s="72"/>
      <c r="BC657" s="72"/>
      <c r="BD657" s="72"/>
      <c r="BE657" s="72"/>
      <c r="BF657" s="72"/>
      <c r="BG657" s="72"/>
      <c r="BH657" s="72"/>
      <c r="BI657" s="72"/>
      <c r="BJ657" s="72"/>
      <c r="BK657" s="72"/>
      <c r="BL657" s="72"/>
      <c r="BM657" s="72"/>
      <c r="BN657" s="72"/>
      <c r="BO657" s="72"/>
      <c r="BP657" s="72"/>
      <c r="BQ657" s="72"/>
      <c r="BR657" s="72"/>
      <c r="BS657" s="72"/>
      <c r="BT657" s="72"/>
      <c r="BU657" s="72"/>
      <c r="BV657" s="72"/>
      <c r="BW657" s="72"/>
      <c r="BX657" s="72"/>
      <c r="BY657" s="72"/>
      <c r="BZ657" s="72"/>
      <c r="CA657" s="72"/>
      <c r="CB657" s="72"/>
      <c r="CC657" s="72"/>
      <c r="CD657" s="72"/>
      <c r="CE657" s="72"/>
      <c r="CF657" s="72"/>
      <c r="CG657" s="72"/>
      <c r="CH657" s="72"/>
      <c r="CI657" s="72"/>
      <c r="CJ657" s="72"/>
      <c r="CK657" s="72"/>
      <c r="CL657" s="72"/>
      <c r="CM657" s="72"/>
      <c r="CN657" s="72"/>
      <c r="CO657" s="72"/>
      <c r="CP657" s="72"/>
      <c r="CQ657" s="72"/>
      <c r="CR657" s="72"/>
      <c r="CS657" s="72"/>
    </row>
    <row r="658" spans="1:97" ht="13.2">
      <c r="A658" s="46"/>
      <c r="B658" s="16" t="s">
        <v>716</v>
      </c>
      <c r="G658" s="1789" t="s">
        <v>2510</v>
      </c>
      <c r="H658" s="1790"/>
      <c r="I658" s="1790"/>
      <c r="J658" s="1790"/>
      <c r="K658" s="1790"/>
      <c r="L658" s="1790"/>
      <c r="O658" s="149" t="s">
        <v>900</v>
      </c>
      <c r="P658" s="1785"/>
      <c r="Q658" s="1785"/>
      <c r="R658" s="1785"/>
      <c r="T658" s="46"/>
      <c r="U658" s="16" t="s">
        <v>716</v>
      </c>
      <c r="Z658" s="1789" t="s">
        <v>2510</v>
      </c>
      <c r="AA658" s="1790"/>
      <c r="AB658" s="1790"/>
      <c r="AC658" s="1790"/>
      <c r="AD658" s="1790"/>
      <c r="AE658" s="1790"/>
      <c r="AH658" s="149" t="s">
        <v>900</v>
      </c>
      <c r="AI658" s="1785"/>
      <c r="AJ658" s="1785"/>
      <c r="AK658" s="1785"/>
      <c r="AL658" s="488"/>
      <c r="AM658" s="72"/>
      <c r="AN658" s="72"/>
      <c r="AO658" s="72"/>
      <c r="AP658" s="72"/>
      <c r="AQ658" s="72"/>
      <c r="AR658" s="72"/>
      <c r="AS658" s="72"/>
      <c r="AT658" s="72"/>
      <c r="AU658" s="72"/>
      <c r="AV658" s="72"/>
      <c r="AW658" s="72"/>
      <c r="AX658" s="72"/>
      <c r="AY658" s="72"/>
      <c r="AZ658" s="72"/>
      <c r="BA658" s="72"/>
      <c r="BB658" s="72"/>
      <c r="BC658" s="72"/>
      <c r="BD658" s="72"/>
      <c r="BE658" s="72"/>
      <c r="BF658" s="72"/>
      <c r="BG658" s="72"/>
      <c r="BH658" s="72"/>
      <c r="BI658" s="72"/>
      <c r="BJ658" s="72"/>
      <c r="BK658" s="72"/>
      <c r="BL658" s="72"/>
      <c r="BM658" s="72"/>
      <c r="BN658" s="72"/>
      <c r="BO658" s="72"/>
      <c r="BP658" s="72"/>
      <c r="BQ658" s="72"/>
      <c r="BR658" s="72"/>
      <c r="BS658" s="72"/>
      <c r="BT658" s="72"/>
      <c r="BU658" s="72"/>
      <c r="BV658" s="72"/>
      <c r="BW658" s="72"/>
      <c r="BX658" s="72"/>
      <c r="BY658" s="72"/>
      <c r="BZ658" s="72"/>
      <c r="CA658" s="72"/>
      <c r="CB658" s="72"/>
      <c r="CC658" s="72"/>
      <c r="CD658" s="72"/>
      <c r="CE658" s="72"/>
      <c r="CF658" s="72"/>
      <c r="CG658" s="72"/>
      <c r="CH658" s="72"/>
      <c r="CI658" s="72"/>
      <c r="CJ658" s="72"/>
      <c r="CK658" s="72"/>
      <c r="CL658" s="72"/>
      <c r="CM658" s="72"/>
      <c r="CN658" s="72"/>
      <c r="CO658" s="72"/>
      <c r="CP658" s="72"/>
      <c r="CQ658" s="72"/>
      <c r="CR658" s="72"/>
      <c r="CS658" s="72"/>
    </row>
    <row r="659" spans="1:97" ht="12.75" customHeight="1">
      <c r="A659" s="46"/>
      <c r="B659" s="16" t="s">
        <v>916</v>
      </c>
      <c r="H659" s="1787" t="s">
        <v>2427</v>
      </c>
      <c r="I659" s="1788"/>
      <c r="J659" s="1788"/>
      <c r="K659" s="1788"/>
      <c r="L659" s="1788"/>
      <c r="M659" s="1788"/>
      <c r="N659" s="1788"/>
      <c r="O659" s="1788"/>
      <c r="P659" s="1788"/>
      <c r="Q659" s="1788"/>
      <c r="R659" s="1788"/>
      <c r="T659" s="46"/>
      <c r="U659" s="16" t="s">
        <v>916</v>
      </c>
      <c r="AA659" s="1787" t="s">
        <v>2427</v>
      </c>
      <c r="AB659" s="1788"/>
      <c r="AC659" s="1788"/>
      <c r="AD659" s="1788"/>
      <c r="AE659" s="1788"/>
      <c r="AF659" s="1788"/>
      <c r="AG659" s="1788"/>
      <c r="AH659" s="1788"/>
      <c r="AI659" s="1788"/>
      <c r="AJ659" s="1788"/>
      <c r="AK659" s="1788"/>
      <c r="AL659" s="488"/>
      <c r="AM659" s="72"/>
      <c r="AN659" s="72"/>
      <c r="AO659" s="72"/>
      <c r="AP659" s="72"/>
      <c r="AQ659" s="72"/>
      <c r="AR659" s="72"/>
      <c r="AS659" s="72"/>
      <c r="AT659" s="72"/>
      <c r="AU659" s="72"/>
      <c r="AV659" s="72"/>
      <c r="AW659" s="72"/>
      <c r="AX659" s="72"/>
      <c r="AY659" s="72"/>
      <c r="AZ659" s="72"/>
      <c r="BA659" s="72"/>
      <c r="BB659" s="72"/>
      <c r="BC659" s="72"/>
      <c r="BD659" s="72"/>
      <c r="BE659" s="72"/>
      <c r="BF659" s="72"/>
      <c r="BG659" s="72"/>
      <c r="BH659" s="72"/>
      <c r="BI659" s="72"/>
      <c r="BJ659" s="72"/>
      <c r="BK659" s="72"/>
      <c r="BL659" s="72"/>
      <c r="BM659" s="72"/>
      <c r="BN659" s="72"/>
      <c r="BO659" s="72"/>
      <c r="BP659" s="72"/>
      <c r="BQ659" s="72"/>
      <c r="BR659" s="72"/>
      <c r="BS659" s="72"/>
      <c r="BT659" s="72"/>
      <c r="BU659" s="72"/>
      <c r="BV659" s="72"/>
      <c r="BW659" s="72"/>
      <c r="BX659" s="72"/>
      <c r="BY659" s="72"/>
      <c r="BZ659" s="72"/>
      <c r="CA659" s="72"/>
      <c r="CB659" s="72"/>
      <c r="CC659" s="72"/>
      <c r="CD659" s="72"/>
      <c r="CE659" s="72"/>
      <c r="CF659" s="72"/>
      <c r="CG659" s="72"/>
      <c r="CH659" s="72"/>
      <c r="CI659" s="72"/>
      <c r="CJ659" s="72"/>
      <c r="CK659" s="72"/>
      <c r="CL659" s="72"/>
      <c r="CM659" s="72"/>
      <c r="CN659" s="72"/>
      <c r="CO659" s="72"/>
      <c r="CP659" s="72"/>
      <c r="CQ659" s="72"/>
      <c r="CR659" s="72"/>
      <c r="CS659" s="72"/>
    </row>
    <row r="660" spans="1:97" ht="13.2">
      <c r="B660" s="16" t="s">
        <v>918</v>
      </c>
      <c r="N660" s="1786" t="s">
        <v>119</v>
      </c>
      <c r="O660" s="1786"/>
      <c r="T660" s="46"/>
      <c r="U660" s="16" t="s">
        <v>918</v>
      </c>
      <c r="AG660" s="1786" t="s">
        <v>119</v>
      </c>
      <c r="AH660" s="1786"/>
      <c r="AL660" s="35"/>
      <c r="AM660" s="72"/>
      <c r="AN660" s="72"/>
      <c r="AO660" s="72"/>
      <c r="AP660" s="72"/>
      <c r="AQ660" s="72"/>
      <c r="AR660" s="72"/>
      <c r="AS660" s="72"/>
      <c r="AT660" s="72"/>
      <c r="AU660" s="72"/>
      <c r="AV660" s="72"/>
      <c r="AW660" s="72"/>
      <c r="AX660" s="72"/>
      <c r="AY660" s="72"/>
      <c r="AZ660" s="72"/>
      <c r="BA660" s="72"/>
      <c r="BB660" s="72"/>
      <c r="BC660" s="72"/>
      <c r="BD660" s="72"/>
      <c r="BE660" s="72"/>
      <c r="BF660" s="72"/>
      <c r="BG660" s="72"/>
      <c r="BH660" s="72"/>
      <c r="BI660" s="72"/>
      <c r="BJ660" s="72"/>
      <c r="BK660" s="72"/>
      <c r="BL660" s="72"/>
      <c r="BM660" s="72"/>
      <c r="BN660" s="72"/>
      <c r="BO660" s="72"/>
      <c r="BP660" s="72"/>
      <c r="BQ660" s="72"/>
      <c r="BR660" s="72"/>
      <c r="BS660" s="72"/>
      <c r="BT660" s="72"/>
      <c r="BU660" s="72"/>
      <c r="BV660" s="72"/>
      <c r="BW660" s="72"/>
      <c r="BX660" s="72"/>
      <c r="BY660" s="72"/>
      <c r="BZ660" s="72"/>
      <c r="CA660" s="72"/>
      <c r="CB660" s="72"/>
      <c r="CC660" s="72"/>
      <c r="CD660" s="72"/>
      <c r="CE660" s="72"/>
      <c r="CF660" s="72"/>
      <c r="CG660" s="72"/>
      <c r="CH660" s="72"/>
      <c r="CI660" s="72"/>
      <c r="CJ660" s="72"/>
      <c r="CK660" s="72"/>
      <c r="CL660" s="72"/>
      <c r="CM660" s="72"/>
      <c r="CN660" s="72"/>
      <c r="CO660" s="72"/>
      <c r="CP660" s="72"/>
      <c r="CQ660" s="72"/>
      <c r="CR660" s="72"/>
      <c r="CS660" s="72"/>
    </row>
    <row r="661" spans="1:97" ht="13.2">
      <c r="A661" s="46"/>
      <c r="T661" s="46"/>
      <c r="AM661" s="72"/>
      <c r="AN661" s="72"/>
      <c r="AO661" s="72"/>
      <c r="AP661" s="72"/>
      <c r="AQ661" s="72"/>
      <c r="AR661" s="72"/>
      <c r="AS661" s="72"/>
      <c r="AT661" s="72"/>
      <c r="AU661" s="72"/>
      <c r="AV661" s="72"/>
      <c r="AW661" s="72"/>
      <c r="AX661" s="72"/>
      <c r="AY661" s="72"/>
      <c r="AZ661" s="72"/>
      <c r="BA661" s="72"/>
      <c r="BB661" s="72"/>
      <c r="BC661" s="72"/>
      <c r="BD661" s="72"/>
      <c r="BE661" s="72"/>
      <c r="BF661" s="72"/>
      <c r="BG661" s="72"/>
      <c r="BH661" s="72"/>
      <c r="BI661" s="72"/>
      <c r="BJ661" s="72"/>
      <c r="BK661" s="72"/>
      <c r="BL661" s="72"/>
      <c r="BM661" s="72"/>
      <c r="BN661" s="72"/>
      <c r="BO661" s="72"/>
      <c r="BP661" s="72"/>
      <c r="BQ661" s="72"/>
      <c r="BR661" s="72"/>
      <c r="BS661" s="72"/>
      <c r="BT661" s="72"/>
      <c r="BU661" s="72"/>
      <c r="BV661" s="72"/>
      <c r="BW661" s="72"/>
      <c r="BX661" s="72"/>
      <c r="BY661" s="72"/>
      <c r="BZ661" s="72"/>
      <c r="CA661" s="72"/>
      <c r="CB661" s="72"/>
      <c r="CC661" s="72"/>
      <c r="CD661" s="72"/>
      <c r="CE661" s="72"/>
      <c r="CF661" s="72"/>
      <c r="CG661" s="72"/>
      <c r="CH661" s="72"/>
      <c r="CI661" s="72"/>
      <c r="CJ661" s="72"/>
      <c r="CK661" s="72"/>
      <c r="CL661" s="72"/>
      <c r="CM661" s="72"/>
      <c r="CN661" s="72"/>
      <c r="CO661" s="72"/>
      <c r="CP661" s="72"/>
      <c r="CQ661" s="72"/>
      <c r="CR661" s="72"/>
      <c r="CS661" s="72"/>
    </row>
    <row r="662" spans="1:97" ht="12.75" customHeight="1">
      <c r="A662" s="101" t="s">
        <v>188</v>
      </c>
      <c r="B662" s="16" t="s">
        <v>93</v>
      </c>
      <c r="G662" s="1791" t="str">
        <f>C634</f>
        <v>NPLH Capital</v>
      </c>
      <c r="H662" s="1791"/>
      <c r="I662" s="1791"/>
      <c r="J662" s="1791"/>
      <c r="K662" s="1791"/>
      <c r="L662" s="1791"/>
      <c r="M662" s="1791"/>
      <c r="N662" s="1791"/>
      <c r="O662" s="1791"/>
      <c r="P662" s="1791"/>
      <c r="Q662" s="1791"/>
      <c r="R662" s="1791"/>
      <c r="T662" s="101" t="s">
        <v>483</v>
      </c>
      <c r="U662" s="16" t="s">
        <v>93</v>
      </c>
      <c r="Z662" s="1791">
        <f>C635</f>
        <v>0</v>
      </c>
      <c r="AA662" s="1791"/>
      <c r="AB662" s="1791"/>
      <c r="AC662" s="1791"/>
      <c r="AD662" s="1791"/>
      <c r="AE662" s="1791"/>
      <c r="AF662" s="1791"/>
      <c r="AG662" s="1791"/>
      <c r="AH662" s="1791"/>
      <c r="AI662" s="1791"/>
      <c r="AJ662" s="1791"/>
      <c r="AK662" s="1791"/>
      <c r="AM662" s="72"/>
      <c r="AN662" s="72"/>
      <c r="AO662" s="72"/>
      <c r="AP662" s="72"/>
      <c r="AQ662" s="72"/>
      <c r="AR662" s="72"/>
      <c r="AS662" s="72"/>
      <c r="AT662" s="72"/>
      <c r="AU662" s="72"/>
      <c r="AV662" s="72"/>
      <c r="AW662" s="72"/>
      <c r="AX662" s="72"/>
      <c r="AY662" s="72"/>
      <c r="AZ662" s="72"/>
      <c r="BA662" s="72"/>
      <c r="BB662" s="72"/>
      <c r="BC662" s="72"/>
      <c r="BD662" s="72"/>
      <c r="BE662" s="72"/>
      <c r="BF662" s="72"/>
      <c r="BG662" s="72"/>
      <c r="BH662" s="72"/>
      <c r="BI662" s="72"/>
      <c r="BJ662" s="72"/>
      <c r="BK662" s="72"/>
      <c r="BL662" s="72"/>
      <c r="BM662" s="72"/>
      <c r="BN662" s="72"/>
      <c r="BO662" s="72"/>
      <c r="BP662" s="72"/>
      <c r="BQ662" s="72"/>
      <c r="BR662" s="72"/>
      <c r="BS662" s="72"/>
      <c r="BT662" s="72"/>
      <c r="BU662" s="72"/>
      <c r="BV662" s="72"/>
      <c r="BW662" s="72"/>
      <c r="BX662" s="72"/>
      <c r="BY662" s="72"/>
      <c r="BZ662" s="72"/>
      <c r="CA662" s="72"/>
      <c r="CB662" s="72"/>
      <c r="CC662" s="72"/>
      <c r="CD662" s="72"/>
      <c r="CE662" s="72"/>
      <c r="CF662" s="72"/>
      <c r="CG662" s="72"/>
      <c r="CH662" s="72"/>
      <c r="CI662" s="72"/>
      <c r="CJ662" s="72"/>
      <c r="CK662" s="72"/>
      <c r="CL662" s="72"/>
      <c r="CM662" s="72"/>
      <c r="CN662" s="72"/>
      <c r="CO662" s="72"/>
      <c r="CP662" s="72"/>
      <c r="CQ662" s="72"/>
      <c r="CR662" s="72"/>
      <c r="CS662" s="72"/>
    </row>
    <row r="663" spans="1:97" ht="13.2">
      <c r="A663" s="46"/>
      <c r="B663" s="16" t="s">
        <v>416</v>
      </c>
      <c r="G663" s="1787" t="s">
        <v>2434</v>
      </c>
      <c r="H663" s="1788"/>
      <c r="I663" s="1788"/>
      <c r="J663" s="1788"/>
      <c r="K663" s="1788"/>
      <c r="L663" s="1788"/>
      <c r="M663" s="1788"/>
      <c r="N663" s="1788"/>
      <c r="O663" s="1788"/>
      <c r="P663" s="1788"/>
      <c r="Q663" s="1788"/>
      <c r="R663" s="1788"/>
      <c r="T663" s="46"/>
      <c r="U663" s="16" t="s">
        <v>416</v>
      </c>
      <c r="Z663" s="1788"/>
      <c r="AA663" s="1788"/>
      <c r="AB663" s="1788"/>
      <c r="AC663" s="1788"/>
      <c r="AD663" s="1788"/>
      <c r="AE663" s="1788"/>
      <c r="AF663" s="1788"/>
      <c r="AG663" s="1788"/>
      <c r="AH663" s="1788"/>
      <c r="AI663" s="1788"/>
      <c r="AJ663" s="1788"/>
      <c r="AK663" s="1788"/>
      <c r="AM663" s="72"/>
      <c r="AN663" s="72"/>
      <c r="AO663" s="72"/>
      <c r="AP663" s="72"/>
      <c r="AQ663" s="72"/>
      <c r="AR663" s="72"/>
      <c r="AS663" s="72"/>
      <c r="AT663" s="72"/>
      <c r="AU663" s="72"/>
      <c r="AV663" s="72"/>
      <c r="AW663" s="72"/>
      <c r="AX663" s="72"/>
      <c r="AY663" s="72"/>
      <c r="AZ663" s="72"/>
      <c r="BA663" s="72"/>
      <c r="BB663" s="72"/>
      <c r="BC663" s="72"/>
      <c r="BD663" s="72"/>
      <c r="BE663" s="72"/>
      <c r="BF663" s="72"/>
      <c r="BG663" s="72"/>
      <c r="BH663" s="72"/>
      <c r="BI663" s="72"/>
      <c r="BJ663" s="72"/>
      <c r="BK663" s="72"/>
      <c r="BL663" s="72"/>
      <c r="BM663" s="72"/>
      <c r="BN663" s="72"/>
      <c r="BO663" s="72"/>
      <c r="BP663" s="72"/>
      <c r="BQ663" s="72"/>
      <c r="BR663" s="72"/>
      <c r="BS663" s="72"/>
      <c r="BT663" s="72"/>
      <c r="BU663" s="72"/>
      <c r="BV663" s="72"/>
      <c r="BW663" s="72"/>
      <c r="BX663" s="72"/>
      <c r="BY663" s="72"/>
      <c r="BZ663" s="72"/>
      <c r="CA663" s="72"/>
      <c r="CB663" s="72"/>
      <c r="CC663" s="72"/>
      <c r="CD663" s="72"/>
      <c r="CE663" s="72"/>
      <c r="CF663" s="72"/>
      <c r="CG663" s="72"/>
      <c r="CH663" s="72"/>
      <c r="CI663" s="72"/>
      <c r="CJ663" s="72"/>
      <c r="CK663" s="72"/>
      <c r="CL663" s="72"/>
      <c r="CM663" s="72"/>
      <c r="CN663" s="72"/>
      <c r="CO663" s="72"/>
      <c r="CP663" s="72"/>
      <c r="CQ663" s="72"/>
      <c r="CR663" s="72"/>
      <c r="CS663" s="72"/>
    </row>
    <row r="664" spans="1:97" ht="13.2">
      <c r="A664" s="46"/>
      <c r="B664" s="16" t="s">
        <v>479</v>
      </c>
      <c r="G664" s="1787" t="s">
        <v>121</v>
      </c>
      <c r="H664" s="1788"/>
      <c r="I664" s="1788"/>
      <c r="J664" s="1788"/>
      <c r="K664" s="1788"/>
      <c r="L664" s="1788"/>
      <c r="M664" s="1788"/>
      <c r="N664" s="1788"/>
      <c r="O664" s="1788"/>
      <c r="P664" s="1788"/>
      <c r="Q664" s="1788"/>
      <c r="R664" s="1788"/>
      <c r="T664" s="46"/>
      <c r="U664" s="16" t="s">
        <v>479</v>
      </c>
      <c r="Z664" s="1796"/>
      <c r="AA664" s="1796"/>
      <c r="AB664" s="1796"/>
      <c r="AC664" s="1796"/>
      <c r="AD664" s="1796"/>
      <c r="AE664" s="1796"/>
      <c r="AF664" s="1796"/>
      <c r="AG664" s="1796"/>
      <c r="AH664" s="1796"/>
      <c r="AI664" s="1796"/>
      <c r="AJ664" s="1796"/>
      <c r="AK664" s="1796"/>
      <c r="AM664" s="72"/>
      <c r="AN664" s="72"/>
      <c r="AO664" s="72"/>
      <c r="AP664" s="72"/>
      <c r="AQ664" s="72"/>
      <c r="AR664" s="72"/>
      <c r="AS664" s="72"/>
      <c r="AT664" s="72"/>
      <c r="AU664" s="72"/>
      <c r="AV664" s="72"/>
      <c r="AW664" s="72"/>
      <c r="AX664" s="72"/>
      <c r="AY664" s="72"/>
      <c r="AZ664" s="72"/>
      <c r="BA664" s="72"/>
      <c r="BB664" s="72"/>
      <c r="BC664" s="72"/>
      <c r="BD664" s="72"/>
      <c r="BE664" s="72"/>
      <c r="BF664" s="72"/>
      <c r="BG664" s="72"/>
      <c r="BH664" s="72"/>
      <c r="BI664" s="72"/>
      <c r="BJ664" s="72"/>
      <c r="BK664" s="72"/>
      <c r="BL664" s="72"/>
      <c r="BM664" s="72"/>
      <c r="BN664" s="72"/>
      <c r="BO664" s="72"/>
      <c r="BP664" s="72"/>
      <c r="BQ664" s="72"/>
      <c r="BR664" s="72"/>
      <c r="BS664" s="72"/>
      <c r="BT664" s="72"/>
      <c r="BU664" s="72"/>
      <c r="BV664" s="72"/>
      <c r="BW664" s="72"/>
      <c r="BX664" s="72"/>
      <c r="BY664" s="72"/>
      <c r="BZ664" s="72"/>
      <c r="CA664" s="72"/>
      <c r="CB664" s="72"/>
      <c r="CC664" s="72"/>
      <c r="CD664" s="72"/>
      <c r="CE664" s="72"/>
      <c r="CF664" s="72"/>
      <c r="CG664" s="72"/>
      <c r="CH664" s="72"/>
      <c r="CI664" s="72"/>
      <c r="CJ664" s="72"/>
      <c r="CK664" s="72"/>
      <c r="CL664" s="72"/>
      <c r="CM664" s="72"/>
      <c r="CN664" s="72"/>
      <c r="CO664" s="72"/>
      <c r="CP664" s="72"/>
      <c r="CQ664" s="72"/>
      <c r="CR664" s="72"/>
      <c r="CS664" s="72"/>
    </row>
    <row r="665" spans="1:97" ht="13.2">
      <c r="A665" s="46"/>
      <c r="B665" s="16" t="s">
        <v>915</v>
      </c>
      <c r="G665" s="1787" t="s">
        <v>2435</v>
      </c>
      <c r="H665" s="1788"/>
      <c r="I665" s="1788"/>
      <c r="J665" s="1788"/>
      <c r="K665" s="1788"/>
      <c r="L665" s="1788"/>
      <c r="M665" s="1788"/>
      <c r="N665" s="1788"/>
      <c r="O665" s="1788"/>
      <c r="P665" s="1788"/>
      <c r="Q665" s="1788"/>
      <c r="R665" s="1788"/>
      <c r="T665" s="46"/>
      <c r="U665" s="16" t="s">
        <v>915</v>
      </c>
      <c r="Z665" s="1796"/>
      <c r="AA665" s="1796"/>
      <c r="AB665" s="1796"/>
      <c r="AC665" s="1796"/>
      <c r="AD665" s="1796"/>
      <c r="AE665" s="1796"/>
      <c r="AF665" s="1796"/>
      <c r="AG665" s="1796"/>
      <c r="AH665" s="1796"/>
      <c r="AI665" s="1796"/>
      <c r="AJ665" s="1796"/>
      <c r="AK665" s="1796"/>
      <c r="AL665" s="8"/>
      <c r="AM665" s="72"/>
      <c r="AN665" s="72"/>
      <c r="AO665" s="72"/>
      <c r="AP665" s="72"/>
      <c r="AQ665" s="72"/>
      <c r="AR665" s="72"/>
      <c r="AS665" s="72"/>
      <c r="AT665" s="72"/>
      <c r="AU665" s="72"/>
      <c r="AV665" s="72"/>
      <c r="AW665" s="72"/>
      <c r="AX665" s="72"/>
      <c r="AY665" s="72"/>
      <c r="AZ665" s="72"/>
      <c r="BA665" s="72"/>
      <c r="BB665" s="72"/>
      <c r="BC665" s="72"/>
      <c r="BD665" s="72"/>
      <c r="BE665" s="72"/>
      <c r="BF665" s="72"/>
      <c r="BG665" s="72"/>
      <c r="BH665" s="72"/>
      <c r="BI665" s="72"/>
      <c r="BJ665" s="72"/>
      <c r="BK665" s="72"/>
      <c r="BL665" s="72"/>
      <c r="BM665" s="72"/>
      <c r="BN665" s="72"/>
      <c r="BO665" s="72"/>
      <c r="BP665" s="72"/>
      <c r="BQ665" s="72"/>
      <c r="BR665" s="72"/>
      <c r="BS665" s="72"/>
      <c r="BT665" s="72"/>
      <c r="BU665" s="72"/>
      <c r="BV665" s="72"/>
      <c r="BW665" s="72"/>
      <c r="BX665" s="72"/>
      <c r="BY665" s="72"/>
      <c r="BZ665" s="72"/>
      <c r="CA665" s="72"/>
      <c r="CB665" s="72"/>
      <c r="CC665" s="72"/>
      <c r="CD665" s="72"/>
      <c r="CE665" s="72"/>
      <c r="CF665" s="72"/>
      <c r="CG665" s="72"/>
      <c r="CH665" s="72"/>
      <c r="CI665" s="72"/>
      <c r="CJ665" s="72"/>
      <c r="CK665" s="72"/>
      <c r="CL665" s="72"/>
      <c r="CM665" s="72"/>
      <c r="CN665" s="72"/>
      <c r="CO665" s="72"/>
      <c r="CP665" s="72"/>
      <c r="CQ665" s="72"/>
      <c r="CR665" s="72"/>
      <c r="CS665" s="72"/>
    </row>
    <row r="666" spans="1:97" ht="13.2">
      <c r="A666" s="46"/>
      <c r="B666" s="16" t="s">
        <v>716</v>
      </c>
      <c r="G666" s="1789" t="s">
        <v>2436</v>
      </c>
      <c r="H666" s="1790"/>
      <c r="I666" s="1790"/>
      <c r="J666" s="1790"/>
      <c r="K666" s="1790"/>
      <c r="L666" s="1790"/>
      <c r="O666" s="149" t="s">
        <v>900</v>
      </c>
      <c r="P666" s="1785"/>
      <c r="Q666" s="1785"/>
      <c r="R666" s="1785"/>
      <c r="T666" s="46"/>
      <c r="U666" s="16" t="s">
        <v>716</v>
      </c>
      <c r="Z666" s="1789"/>
      <c r="AA666" s="1790"/>
      <c r="AB666" s="1790"/>
      <c r="AC666" s="1790"/>
      <c r="AD666" s="1790"/>
      <c r="AE666" s="1790"/>
      <c r="AH666" s="149" t="s">
        <v>900</v>
      </c>
      <c r="AI666" s="1785"/>
      <c r="AJ666" s="1785"/>
      <c r="AK666" s="1785"/>
      <c r="AL666" s="8"/>
      <c r="AM666" s="72"/>
      <c r="AN666" s="72"/>
      <c r="AO666" s="72"/>
      <c r="AP666" s="72"/>
      <c r="AQ666" s="72"/>
      <c r="AR666" s="72"/>
      <c r="AS666" s="72"/>
      <c r="AT666" s="72"/>
      <c r="AU666" s="72"/>
      <c r="AV666" s="72"/>
      <c r="AW666" s="72"/>
      <c r="AX666" s="72"/>
      <c r="AY666" s="72"/>
      <c r="AZ666" s="72"/>
      <c r="BA666" s="72"/>
      <c r="BB666" s="72"/>
      <c r="BC666" s="72"/>
      <c r="BD666" s="72"/>
      <c r="BE666" s="72"/>
      <c r="BF666" s="72"/>
      <c r="BG666" s="72"/>
      <c r="BH666" s="72"/>
      <c r="BI666" s="72"/>
      <c r="BJ666" s="72"/>
      <c r="BK666" s="72"/>
      <c r="BL666" s="72"/>
      <c r="BM666" s="72"/>
      <c r="BN666" s="72"/>
      <c r="BO666" s="72"/>
      <c r="BP666" s="72"/>
      <c r="BQ666" s="72"/>
      <c r="BR666" s="72"/>
      <c r="BS666" s="72"/>
      <c r="BT666" s="72"/>
      <c r="BU666" s="72"/>
      <c r="BV666" s="72"/>
      <c r="BW666" s="72"/>
      <c r="BX666" s="72"/>
      <c r="BY666" s="72"/>
      <c r="BZ666" s="72"/>
      <c r="CA666" s="72"/>
      <c r="CB666" s="72"/>
      <c r="CC666" s="72"/>
      <c r="CD666" s="72"/>
      <c r="CE666" s="72"/>
      <c r="CF666" s="72"/>
      <c r="CG666" s="72"/>
      <c r="CH666" s="72"/>
      <c r="CI666" s="72"/>
      <c r="CJ666" s="72"/>
      <c r="CK666" s="72"/>
      <c r="CL666" s="72"/>
      <c r="CM666" s="72"/>
      <c r="CN666" s="72"/>
      <c r="CO666" s="72"/>
      <c r="CP666" s="72"/>
      <c r="CQ666" s="72"/>
      <c r="CR666" s="72"/>
      <c r="CS666" s="72"/>
    </row>
    <row r="667" spans="1:97" ht="13.2">
      <c r="A667" s="46"/>
      <c r="B667" s="16" t="s">
        <v>916</v>
      </c>
      <c r="H667" s="1787" t="s">
        <v>2427</v>
      </c>
      <c r="I667" s="1788"/>
      <c r="J667" s="1788"/>
      <c r="K667" s="1788"/>
      <c r="L667" s="1788"/>
      <c r="M667" s="1788"/>
      <c r="N667" s="1788"/>
      <c r="O667" s="1788"/>
      <c r="P667" s="1788"/>
      <c r="Q667" s="1788"/>
      <c r="R667" s="1788"/>
      <c r="T667" s="46"/>
      <c r="U667" s="16" t="s">
        <v>916</v>
      </c>
      <c r="AA667" s="1787"/>
      <c r="AB667" s="1788"/>
      <c r="AC667" s="1788"/>
      <c r="AD667" s="1788"/>
      <c r="AE667" s="1788"/>
      <c r="AF667" s="1788"/>
      <c r="AG667" s="1788"/>
      <c r="AH667" s="1788"/>
      <c r="AI667" s="1788"/>
      <c r="AJ667" s="1788"/>
      <c r="AK667" s="1788"/>
      <c r="AL667" s="8"/>
      <c r="AM667" s="72"/>
      <c r="AN667" s="72"/>
      <c r="AO667" s="72"/>
      <c r="AP667" s="72"/>
      <c r="AQ667" s="72"/>
      <c r="AR667" s="72"/>
      <c r="AS667" s="72"/>
      <c r="AT667" s="72"/>
      <c r="AU667" s="72"/>
      <c r="AV667" s="72"/>
      <c r="AW667" s="72"/>
      <c r="AX667" s="72"/>
      <c r="AY667" s="72"/>
      <c r="AZ667" s="72"/>
      <c r="BA667" s="72"/>
      <c r="BB667" s="72"/>
      <c r="BC667" s="72"/>
      <c r="BD667" s="72"/>
      <c r="BE667" s="72"/>
      <c r="BF667" s="72"/>
      <c r="BG667" s="72"/>
      <c r="BH667" s="72"/>
      <c r="BI667" s="72"/>
      <c r="BJ667" s="72"/>
      <c r="BK667" s="72"/>
      <c r="BL667" s="72"/>
      <c r="BM667" s="72"/>
      <c r="BN667" s="72"/>
      <c r="BO667" s="72"/>
      <c r="BP667" s="72"/>
      <c r="BQ667" s="72"/>
      <c r="BR667" s="72"/>
      <c r="BS667" s="72"/>
      <c r="BT667" s="72"/>
      <c r="BU667" s="72"/>
      <c r="BV667" s="72"/>
      <c r="BW667" s="72"/>
      <c r="BX667" s="72"/>
      <c r="BY667" s="72"/>
      <c r="BZ667" s="72"/>
      <c r="CA667" s="72"/>
      <c r="CB667" s="72"/>
      <c r="CC667" s="72"/>
      <c r="CD667" s="72"/>
      <c r="CE667" s="72"/>
      <c r="CF667" s="72"/>
      <c r="CG667" s="72"/>
      <c r="CH667" s="72"/>
      <c r="CI667" s="72"/>
      <c r="CJ667" s="72"/>
      <c r="CK667" s="72"/>
      <c r="CL667" s="72"/>
      <c r="CM667" s="72"/>
      <c r="CN667" s="72"/>
      <c r="CO667" s="72"/>
      <c r="CP667" s="72"/>
      <c r="CQ667" s="72"/>
      <c r="CR667" s="72"/>
      <c r="CS667" s="72"/>
    </row>
    <row r="668" spans="1:97" ht="13.2">
      <c r="B668" s="16" t="s">
        <v>918</v>
      </c>
      <c r="N668" s="1786" t="s">
        <v>119</v>
      </c>
      <c r="O668" s="1786"/>
      <c r="T668" s="46"/>
      <c r="U668" s="16" t="s">
        <v>918</v>
      </c>
      <c r="AG668" s="1786" t="s">
        <v>531</v>
      </c>
      <c r="AH668" s="1786"/>
      <c r="AL668" s="8"/>
      <c r="AM668" s="72"/>
      <c r="AN668" s="72"/>
      <c r="AO668" s="72"/>
      <c r="AP668" s="72"/>
      <c r="AQ668" s="72"/>
      <c r="AR668" s="72"/>
      <c r="AS668" s="72"/>
      <c r="AT668" s="72"/>
      <c r="AU668" s="72"/>
      <c r="AV668" s="72"/>
      <c r="AW668" s="72"/>
      <c r="AX668" s="72"/>
      <c r="AY668" s="72"/>
      <c r="AZ668" s="72"/>
      <c r="BA668" s="72"/>
      <c r="BB668" s="72"/>
      <c r="BC668" s="72"/>
      <c r="BD668" s="72"/>
      <c r="BE668" s="72"/>
      <c r="BF668" s="72"/>
      <c r="BG668" s="72"/>
      <c r="BH668" s="72"/>
      <c r="BI668" s="72"/>
      <c r="BJ668" s="72"/>
      <c r="BK668" s="72"/>
      <c r="BL668" s="72"/>
      <c r="BM668" s="72"/>
      <c r="BN668" s="72"/>
      <c r="BO668" s="72"/>
      <c r="BP668" s="72"/>
      <c r="BQ668" s="72"/>
      <c r="BR668" s="72"/>
      <c r="BS668" s="72"/>
      <c r="BT668" s="72"/>
      <c r="BU668" s="72"/>
      <c r="BV668" s="72"/>
      <c r="BW668" s="72"/>
      <c r="BX668" s="72"/>
      <c r="BY668" s="72"/>
      <c r="BZ668" s="72"/>
      <c r="CA668" s="72"/>
      <c r="CB668" s="72"/>
      <c r="CC668" s="72"/>
      <c r="CD668" s="72"/>
      <c r="CE668" s="72"/>
      <c r="CF668" s="72"/>
      <c r="CG668" s="72"/>
      <c r="CH668" s="72"/>
      <c r="CI668" s="72"/>
      <c r="CJ668" s="72"/>
      <c r="CK668" s="72"/>
      <c r="CL668" s="72"/>
      <c r="CM668" s="72"/>
      <c r="CN668" s="72"/>
      <c r="CO668" s="72"/>
      <c r="CP668" s="72"/>
      <c r="CQ668" s="72"/>
      <c r="CR668" s="72"/>
      <c r="CS668" s="72"/>
    </row>
    <row r="669" spans="1:97" ht="13.2">
      <c r="A669" s="46"/>
      <c r="T669" s="46"/>
      <c r="AL669" s="8"/>
      <c r="AM669" s="72"/>
      <c r="AN669" s="72"/>
      <c r="AO669" s="72"/>
      <c r="AP669" s="72"/>
      <c r="AQ669" s="72"/>
      <c r="AR669" s="72"/>
      <c r="AS669" s="72"/>
      <c r="AT669" s="72"/>
      <c r="AU669" s="72"/>
      <c r="AV669" s="72"/>
      <c r="AW669" s="72"/>
      <c r="AX669" s="72"/>
      <c r="AY669" s="72"/>
      <c r="AZ669" s="72"/>
      <c r="BA669" s="72"/>
      <c r="BB669" s="72"/>
      <c r="BC669" s="72"/>
      <c r="BD669" s="72"/>
      <c r="BE669" s="72"/>
      <c r="BF669" s="72"/>
      <c r="BG669" s="72"/>
      <c r="BH669" s="72"/>
      <c r="BI669" s="72"/>
      <c r="BJ669" s="72"/>
      <c r="BK669" s="72"/>
      <c r="BL669" s="72"/>
      <c r="BM669" s="72"/>
      <c r="BN669" s="72"/>
      <c r="BO669" s="72"/>
      <c r="BP669" s="72"/>
      <c r="BQ669" s="72"/>
      <c r="BR669" s="72"/>
      <c r="BS669" s="72"/>
      <c r="BT669" s="72"/>
      <c r="BU669" s="72"/>
      <c r="BV669" s="72"/>
      <c r="BW669" s="72"/>
      <c r="BX669" s="72"/>
      <c r="BY669" s="72"/>
      <c r="BZ669" s="72"/>
      <c r="CA669" s="72"/>
      <c r="CB669" s="72"/>
      <c r="CC669" s="72"/>
      <c r="CD669" s="72"/>
      <c r="CE669" s="72"/>
      <c r="CF669" s="72"/>
      <c r="CG669" s="72"/>
      <c r="CH669" s="72"/>
      <c r="CI669" s="72"/>
      <c r="CJ669" s="72"/>
      <c r="CK669" s="72"/>
      <c r="CL669" s="72"/>
      <c r="CM669" s="72"/>
      <c r="CN669" s="72"/>
      <c r="CO669" s="72"/>
      <c r="CP669" s="72"/>
      <c r="CQ669" s="72"/>
      <c r="CR669" s="72"/>
      <c r="CS669" s="72"/>
    </row>
    <row r="670" spans="1:97" ht="12.75" customHeight="1">
      <c r="A670" s="101" t="s">
        <v>810</v>
      </c>
      <c r="B670" s="16" t="s">
        <v>93</v>
      </c>
      <c r="G670" s="1791">
        <f>C636</f>
        <v>0</v>
      </c>
      <c r="H670" s="1791"/>
      <c r="I670" s="1791"/>
      <c r="J670" s="1791"/>
      <c r="K670" s="1791"/>
      <c r="L670" s="1791"/>
      <c r="M670" s="1791"/>
      <c r="N670" s="1791"/>
      <c r="O670" s="1791"/>
      <c r="P670" s="1791"/>
      <c r="Q670" s="1791"/>
      <c r="R670" s="1791"/>
      <c r="T670" s="101" t="s">
        <v>811</v>
      </c>
      <c r="U670" s="16" t="s">
        <v>93</v>
      </c>
      <c r="Z670" s="1791">
        <f>C637</f>
        <v>0</v>
      </c>
      <c r="AA670" s="1791"/>
      <c r="AB670" s="1791"/>
      <c r="AC670" s="1791"/>
      <c r="AD670" s="1791"/>
      <c r="AE670" s="1791"/>
      <c r="AF670" s="1791"/>
      <c r="AG670" s="1791"/>
      <c r="AH670" s="1791"/>
      <c r="AI670" s="1791"/>
      <c r="AJ670" s="1791"/>
      <c r="AK670" s="1791"/>
      <c r="AM670" s="72"/>
      <c r="AN670" s="72"/>
      <c r="AO670" s="72"/>
      <c r="AP670" s="72"/>
      <c r="AQ670" s="72"/>
      <c r="AR670" s="72"/>
      <c r="AS670" s="72"/>
      <c r="AT670" s="72"/>
      <c r="AU670" s="72"/>
      <c r="AV670" s="72"/>
      <c r="AW670" s="72"/>
      <c r="AX670" s="72"/>
      <c r="AY670" s="72"/>
      <c r="AZ670" s="72"/>
      <c r="BA670" s="72"/>
      <c r="BB670" s="72"/>
      <c r="BC670" s="72"/>
      <c r="BD670" s="72"/>
      <c r="BE670" s="72"/>
      <c r="BF670" s="72"/>
      <c r="BG670" s="72"/>
      <c r="BH670" s="72"/>
      <c r="BI670" s="72"/>
      <c r="BJ670" s="72"/>
      <c r="BK670" s="72"/>
      <c r="BL670" s="72"/>
      <c r="BM670" s="72"/>
      <c r="BN670" s="72"/>
      <c r="BO670" s="72"/>
      <c r="BP670" s="72"/>
      <c r="BQ670" s="72"/>
      <c r="BR670" s="72"/>
      <c r="BS670" s="72"/>
      <c r="BT670" s="72"/>
      <c r="BU670" s="72"/>
      <c r="BV670" s="72"/>
      <c r="BW670" s="72"/>
      <c r="BX670" s="72"/>
      <c r="BY670" s="72"/>
      <c r="BZ670" s="72"/>
      <c r="CA670" s="72"/>
      <c r="CB670" s="72"/>
      <c r="CC670" s="72"/>
      <c r="CD670" s="72"/>
      <c r="CE670" s="72"/>
      <c r="CF670" s="72"/>
      <c r="CG670" s="72"/>
      <c r="CH670" s="72"/>
      <c r="CI670" s="72"/>
      <c r="CJ670" s="72"/>
      <c r="CK670" s="72"/>
      <c r="CL670" s="72"/>
      <c r="CM670" s="72"/>
      <c r="CN670" s="72"/>
      <c r="CO670" s="72"/>
      <c r="CP670" s="72"/>
      <c r="CQ670" s="72"/>
      <c r="CR670" s="72"/>
      <c r="CS670" s="72"/>
    </row>
    <row r="671" spans="1:97" ht="13.2">
      <c r="A671" s="46"/>
      <c r="B671" s="16" t="s">
        <v>416</v>
      </c>
      <c r="G671" s="1788"/>
      <c r="H671" s="1788"/>
      <c r="I671" s="1788"/>
      <c r="J671" s="1788"/>
      <c r="K671" s="1788"/>
      <c r="L671" s="1788"/>
      <c r="M671" s="1788"/>
      <c r="N671" s="1788"/>
      <c r="O671" s="1788"/>
      <c r="P671" s="1788"/>
      <c r="Q671" s="1788"/>
      <c r="R671" s="1788"/>
      <c r="T671" s="46"/>
      <c r="U671" s="16" t="s">
        <v>416</v>
      </c>
      <c r="Z671" s="1788"/>
      <c r="AA671" s="1788"/>
      <c r="AB671" s="1788"/>
      <c r="AC671" s="1788"/>
      <c r="AD671" s="1788"/>
      <c r="AE671" s="1788"/>
      <c r="AF671" s="1788"/>
      <c r="AG671" s="1788"/>
      <c r="AH671" s="1788"/>
      <c r="AI671" s="1788"/>
      <c r="AJ671" s="1788"/>
      <c r="AK671" s="1788"/>
      <c r="AM671" s="72"/>
      <c r="AN671" s="72"/>
      <c r="AO671" s="72"/>
      <c r="AP671" s="72"/>
      <c r="AQ671" s="72"/>
      <c r="AR671" s="72"/>
      <c r="AS671" s="72"/>
      <c r="AT671" s="72"/>
      <c r="AU671" s="72"/>
      <c r="AV671" s="72"/>
      <c r="AW671" s="72"/>
      <c r="AX671" s="72"/>
      <c r="AY671" s="72"/>
      <c r="AZ671" s="72"/>
      <c r="BA671" s="72"/>
      <c r="BB671" s="72"/>
      <c r="BC671" s="72"/>
      <c r="BD671" s="72"/>
      <c r="BE671" s="72"/>
      <c r="BF671" s="72"/>
      <c r="BG671" s="72"/>
      <c r="BH671" s="72"/>
      <c r="BI671" s="72"/>
      <c r="BJ671" s="72"/>
      <c r="BK671" s="72"/>
      <c r="BL671" s="72"/>
      <c r="BM671" s="72"/>
      <c r="BN671" s="72"/>
      <c r="BO671" s="72"/>
      <c r="BP671" s="72"/>
      <c r="BQ671" s="72"/>
      <c r="BR671" s="72"/>
      <c r="BS671" s="72"/>
      <c r="BT671" s="72"/>
      <c r="BU671" s="72"/>
      <c r="BV671" s="72"/>
      <c r="BW671" s="72"/>
      <c r="BX671" s="72"/>
      <c r="BY671" s="72"/>
      <c r="BZ671" s="72"/>
      <c r="CA671" s="72"/>
      <c r="CB671" s="72"/>
      <c r="CC671" s="72"/>
      <c r="CD671" s="72"/>
      <c r="CE671" s="72"/>
      <c r="CF671" s="72"/>
      <c r="CG671" s="72"/>
      <c r="CH671" s="72"/>
      <c r="CI671" s="72"/>
      <c r="CJ671" s="72"/>
      <c r="CK671" s="72"/>
      <c r="CL671" s="72"/>
      <c r="CM671" s="72"/>
      <c r="CN671" s="72"/>
      <c r="CO671" s="72"/>
      <c r="CP671" s="72"/>
      <c r="CQ671" s="72"/>
      <c r="CR671" s="72"/>
      <c r="CS671" s="72"/>
    </row>
    <row r="672" spans="1:97" ht="13.2">
      <c r="A672" s="46"/>
      <c r="B672" s="16" t="s">
        <v>479</v>
      </c>
      <c r="G672" s="1788"/>
      <c r="H672" s="1788"/>
      <c r="I672" s="1788"/>
      <c r="J672" s="1788"/>
      <c r="K672" s="1788"/>
      <c r="L672" s="1788"/>
      <c r="M672" s="1788"/>
      <c r="N672" s="1788"/>
      <c r="O672" s="1788"/>
      <c r="P672" s="1788"/>
      <c r="Q672" s="1788"/>
      <c r="R672" s="1788"/>
      <c r="T672" s="46"/>
      <c r="U672" s="16" t="s">
        <v>479</v>
      </c>
      <c r="Z672" s="1796"/>
      <c r="AA672" s="1796"/>
      <c r="AB672" s="1796"/>
      <c r="AC672" s="1796"/>
      <c r="AD672" s="1796"/>
      <c r="AE672" s="1796"/>
      <c r="AF672" s="1796"/>
      <c r="AG672" s="1796"/>
      <c r="AH672" s="1796"/>
      <c r="AI672" s="1796"/>
      <c r="AJ672" s="1796"/>
      <c r="AK672" s="1796"/>
      <c r="AM672" s="72"/>
      <c r="AN672" s="72"/>
      <c r="AO672" s="72"/>
      <c r="AP672" s="72"/>
      <c r="AQ672" s="72"/>
      <c r="AR672" s="72"/>
      <c r="AS672" s="72"/>
      <c r="AT672" s="72"/>
      <c r="AU672" s="72"/>
      <c r="AV672" s="72"/>
      <c r="AW672" s="72"/>
      <c r="AX672" s="72"/>
      <c r="AY672" s="72"/>
      <c r="AZ672" s="72"/>
      <c r="BA672" s="72"/>
      <c r="BB672" s="72"/>
      <c r="BC672" s="72"/>
      <c r="BD672" s="72"/>
      <c r="BE672" s="72"/>
      <c r="BF672" s="72"/>
      <c r="BG672" s="72"/>
      <c r="BH672" s="72"/>
      <c r="BI672" s="72"/>
      <c r="BJ672" s="72"/>
      <c r="BK672" s="72"/>
      <c r="BL672" s="72"/>
      <c r="BM672" s="72"/>
      <c r="BN672" s="72"/>
      <c r="BO672" s="72"/>
      <c r="BP672" s="72"/>
      <c r="BQ672" s="72"/>
      <c r="BR672" s="72"/>
      <c r="BS672" s="72"/>
      <c r="BT672" s="72"/>
      <c r="BU672" s="72"/>
      <c r="BV672" s="72"/>
      <c r="BW672" s="72"/>
      <c r="BX672" s="72"/>
      <c r="BY672" s="72"/>
      <c r="BZ672" s="72"/>
      <c r="CA672" s="72"/>
      <c r="CB672" s="72"/>
      <c r="CC672" s="72"/>
      <c r="CD672" s="72"/>
      <c r="CE672" s="72"/>
      <c r="CF672" s="72"/>
      <c r="CG672" s="72"/>
      <c r="CH672" s="72"/>
      <c r="CI672" s="72"/>
      <c r="CJ672" s="72"/>
      <c r="CK672" s="72"/>
      <c r="CL672" s="72"/>
      <c r="CM672" s="72"/>
      <c r="CN672" s="72"/>
      <c r="CO672" s="72"/>
      <c r="CP672" s="72"/>
      <c r="CQ672" s="72"/>
      <c r="CR672" s="72"/>
      <c r="CS672" s="72"/>
    </row>
    <row r="673" spans="1:97" ht="13.2">
      <c r="A673" s="46"/>
      <c r="B673" s="16" t="s">
        <v>915</v>
      </c>
      <c r="G673" s="1788"/>
      <c r="H673" s="1788"/>
      <c r="I673" s="1788"/>
      <c r="J673" s="1788"/>
      <c r="K673" s="1788"/>
      <c r="L673" s="1788"/>
      <c r="M673" s="1788"/>
      <c r="N673" s="1788"/>
      <c r="O673" s="1788"/>
      <c r="P673" s="1788"/>
      <c r="Q673" s="1788"/>
      <c r="R673" s="1788"/>
      <c r="T673" s="46"/>
      <c r="U673" s="16" t="s">
        <v>915</v>
      </c>
      <c r="Z673" s="1796"/>
      <c r="AA673" s="1796"/>
      <c r="AB673" s="1796"/>
      <c r="AC673" s="1796"/>
      <c r="AD673" s="1796"/>
      <c r="AE673" s="1796"/>
      <c r="AF673" s="1796"/>
      <c r="AG673" s="1796"/>
      <c r="AH673" s="1796"/>
      <c r="AI673" s="1796"/>
      <c r="AJ673" s="1796"/>
      <c r="AK673" s="1796"/>
      <c r="AM673" s="72"/>
      <c r="AN673" s="72"/>
      <c r="AO673" s="72"/>
      <c r="AP673" s="72"/>
      <c r="AQ673" s="72"/>
      <c r="AR673" s="72"/>
      <c r="AS673" s="72"/>
      <c r="AT673" s="72"/>
      <c r="AU673" s="72"/>
      <c r="AV673" s="72"/>
      <c r="AW673" s="72"/>
      <c r="AX673" s="72"/>
      <c r="AY673" s="72"/>
      <c r="AZ673" s="72"/>
      <c r="BA673" s="72"/>
      <c r="BB673" s="72"/>
      <c r="BC673" s="72"/>
      <c r="BD673" s="72"/>
      <c r="BE673" s="72"/>
      <c r="BF673" s="72"/>
      <c r="BG673" s="72"/>
      <c r="BH673" s="72"/>
      <c r="BI673" s="72"/>
      <c r="BJ673" s="72"/>
      <c r="BK673" s="72"/>
      <c r="BL673" s="72"/>
      <c r="BM673" s="72"/>
      <c r="BN673" s="72"/>
      <c r="BO673" s="72"/>
      <c r="BP673" s="72"/>
      <c r="BQ673" s="72"/>
      <c r="BR673" s="72"/>
      <c r="BS673" s="72"/>
      <c r="BT673" s="72"/>
      <c r="BU673" s="72"/>
      <c r="BV673" s="72"/>
      <c r="BW673" s="72"/>
      <c r="BX673" s="72"/>
      <c r="BY673" s="72"/>
      <c r="BZ673" s="72"/>
      <c r="CA673" s="72"/>
      <c r="CB673" s="72"/>
      <c r="CC673" s="72"/>
      <c r="CD673" s="72"/>
      <c r="CE673" s="72"/>
      <c r="CF673" s="72"/>
      <c r="CG673" s="72"/>
      <c r="CH673" s="72"/>
      <c r="CI673" s="72"/>
      <c r="CJ673" s="72"/>
      <c r="CK673" s="72"/>
      <c r="CL673" s="72"/>
      <c r="CM673" s="72"/>
      <c r="CN673" s="72"/>
      <c r="CO673" s="72"/>
      <c r="CP673" s="72"/>
      <c r="CQ673" s="72"/>
      <c r="CR673" s="72"/>
      <c r="CS673" s="72"/>
    </row>
    <row r="674" spans="1:97" ht="13.2">
      <c r="A674" s="46"/>
      <c r="B674" s="16" t="s">
        <v>716</v>
      </c>
      <c r="G674" s="1790"/>
      <c r="H674" s="1790"/>
      <c r="I674" s="1790"/>
      <c r="J674" s="1790"/>
      <c r="K674" s="1790"/>
      <c r="L674" s="1790"/>
      <c r="O674" s="149" t="s">
        <v>900</v>
      </c>
      <c r="P674" s="1785"/>
      <c r="Q674" s="1785"/>
      <c r="R674" s="1785"/>
      <c r="T674" s="46"/>
      <c r="U674" s="16" t="s">
        <v>716</v>
      </c>
      <c r="Z674" s="1790"/>
      <c r="AA674" s="1790"/>
      <c r="AB674" s="1790"/>
      <c r="AC674" s="1790"/>
      <c r="AD674" s="1790"/>
      <c r="AE674" s="1790"/>
      <c r="AH674" s="149" t="s">
        <v>900</v>
      </c>
      <c r="AI674" s="1785"/>
      <c r="AJ674" s="1785"/>
      <c r="AK674" s="1785"/>
      <c r="AM674" s="72"/>
      <c r="AN674" s="72"/>
      <c r="AO674" s="72"/>
      <c r="AP674" s="72"/>
      <c r="AQ674" s="72"/>
      <c r="AR674" s="72"/>
      <c r="AS674" s="72"/>
      <c r="AT674" s="72"/>
      <c r="AU674" s="72"/>
      <c r="AV674" s="72"/>
      <c r="AW674" s="72"/>
      <c r="AX674" s="72"/>
      <c r="AY674" s="72"/>
      <c r="AZ674" s="72"/>
      <c r="BA674" s="72"/>
      <c r="BB674" s="72"/>
      <c r="BC674" s="72"/>
      <c r="BD674" s="72"/>
      <c r="BE674" s="72"/>
      <c r="BF674" s="72"/>
      <c r="BG674" s="72"/>
      <c r="BH674" s="72"/>
      <c r="BI674" s="72"/>
      <c r="BJ674" s="72"/>
      <c r="BK674" s="72"/>
      <c r="BL674" s="72"/>
      <c r="BM674" s="72"/>
      <c r="BN674" s="72"/>
      <c r="BO674" s="72"/>
      <c r="BP674" s="72"/>
      <c r="BQ674" s="72"/>
      <c r="BR674" s="72"/>
      <c r="BS674" s="72"/>
      <c r="BT674" s="72"/>
      <c r="BU674" s="72"/>
      <c r="BV674" s="72"/>
      <c r="BW674" s="72"/>
      <c r="BX674" s="72"/>
      <c r="BY674" s="72"/>
      <c r="BZ674" s="72"/>
      <c r="CA674" s="72"/>
      <c r="CB674" s="72"/>
      <c r="CC674" s="72"/>
      <c r="CD674" s="72"/>
      <c r="CE674" s="72"/>
      <c r="CF674" s="72"/>
      <c r="CG674" s="72"/>
      <c r="CH674" s="72"/>
      <c r="CI674" s="72"/>
      <c r="CJ674" s="72"/>
      <c r="CK674" s="72"/>
      <c r="CL674" s="72"/>
      <c r="CM674" s="72"/>
      <c r="CN674" s="72"/>
      <c r="CO674" s="72"/>
      <c r="CP674" s="72"/>
      <c r="CQ674" s="72"/>
      <c r="CR674" s="72"/>
      <c r="CS674" s="72"/>
    </row>
    <row r="675" spans="1:97" ht="13.2">
      <c r="A675" s="46"/>
      <c r="B675" s="16" t="s">
        <v>916</v>
      </c>
      <c r="H675" s="1788"/>
      <c r="I675" s="1788"/>
      <c r="J675" s="1788"/>
      <c r="K675" s="1788"/>
      <c r="L675" s="1788"/>
      <c r="M675" s="1788"/>
      <c r="N675" s="1788"/>
      <c r="O675" s="1788"/>
      <c r="P675" s="1788"/>
      <c r="Q675" s="1788"/>
      <c r="R675" s="1788"/>
      <c r="T675" s="46"/>
      <c r="U675" s="16" t="s">
        <v>916</v>
      </c>
      <c r="AA675" s="1788"/>
      <c r="AB675" s="1788"/>
      <c r="AC675" s="1788"/>
      <c r="AD675" s="1788"/>
      <c r="AE675" s="1788"/>
      <c r="AF675" s="1788"/>
      <c r="AG675" s="1788"/>
      <c r="AH675" s="1788"/>
      <c r="AI675" s="1788"/>
      <c r="AJ675" s="1788"/>
      <c r="AK675" s="1788"/>
      <c r="AM675" s="72"/>
      <c r="AN675" s="72"/>
      <c r="AO675" s="72"/>
      <c r="AP675" s="72"/>
      <c r="AQ675" s="72"/>
      <c r="AR675" s="72"/>
      <c r="AS675" s="72"/>
      <c r="AT675" s="72"/>
      <c r="AU675" s="72"/>
      <c r="AV675" s="72"/>
      <c r="AW675" s="72"/>
      <c r="AX675" s="72"/>
      <c r="AY675" s="72"/>
      <c r="AZ675" s="72"/>
      <c r="BA675" s="72"/>
      <c r="BB675" s="72"/>
      <c r="BC675" s="72"/>
      <c r="BD675" s="72"/>
      <c r="BE675" s="72"/>
      <c r="BF675" s="72"/>
      <c r="BG675" s="72"/>
      <c r="BH675" s="72"/>
      <c r="BI675" s="72"/>
      <c r="BJ675" s="72"/>
      <c r="BK675" s="72"/>
      <c r="BL675" s="72"/>
      <c r="BM675" s="72"/>
      <c r="BN675" s="72"/>
      <c r="BO675" s="72"/>
      <c r="BP675" s="72"/>
      <c r="BQ675" s="72"/>
      <c r="BR675" s="72"/>
      <c r="BS675" s="72"/>
      <c r="BT675" s="72"/>
      <c r="BU675" s="72"/>
      <c r="BV675" s="72"/>
      <c r="BW675" s="72"/>
      <c r="BX675" s="72"/>
      <c r="BY675" s="72"/>
      <c r="BZ675" s="72"/>
      <c r="CA675" s="72"/>
      <c r="CB675" s="72"/>
      <c r="CC675" s="72"/>
      <c r="CD675" s="72"/>
      <c r="CE675" s="72"/>
      <c r="CF675" s="72"/>
      <c r="CG675" s="72"/>
      <c r="CH675" s="72"/>
      <c r="CI675" s="72"/>
      <c r="CJ675" s="72"/>
      <c r="CK675" s="72"/>
      <c r="CL675" s="72"/>
      <c r="CM675" s="72"/>
      <c r="CN675" s="72"/>
      <c r="CO675" s="72"/>
      <c r="CP675" s="72"/>
      <c r="CQ675" s="72"/>
      <c r="CR675" s="72"/>
      <c r="CS675" s="72"/>
    </row>
    <row r="676" spans="1:97" ht="13.2">
      <c r="B676" s="16" t="s">
        <v>918</v>
      </c>
      <c r="N676" s="1786" t="s">
        <v>531</v>
      </c>
      <c r="O676" s="1786"/>
      <c r="T676" s="46"/>
      <c r="U676" s="16" t="s">
        <v>918</v>
      </c>
      <c r="AG676" s="1786" t="s">
        <v>531</v>
      </c>
      <c r="AH676" s="1786"/>
      <c r="AL676" s="8"/>
      <c r="AM676" s="72"/>
      <c r="AN676" s="72"/>
      <c r="AO676" s="72"/>
      <c r="AP676" s="72"/>
      <c r="AQ676" s="72"/>
      <c r="AR676" s="72"/>
      <c r="AS676" s="72"/>
      <c r="AT676" s="72"/>
      <c r="AU676" s="72"/>
      <c r="AV676" s="72"/>
      <c r="AW676" s="72"/>
      <c r="AX676" s="72"/>
      <c r="AY676" s="72"/>
      <c r="AZ676" s="72"/>
      <c r="BA676" s="72"/>
      <c r="BB676" s="72"/>
      <c r="BC676" s="72"/>
      <c r="BD676" s="72"/>
      <c r="BE676" s="72"/>
      <c r="BF676" s="72"/>
      <c r="BG676" s="72"/>
      <c r="BH676" s="72"/>
      <c r="BI676" s="72"/>
      <c r="BJ676" s="72"/>
      <c r="BK676" s="72"/>
      <c r="BL676" s="72"/>
      <c r="BM676" s="72"/>
      <c r="BN676" s="72"/>
      <c r="BO676" s="72"/>
      <c r="BP676" s="72"/>
      <c r="BQ676" s="72"/>
      <c r="BR676" s="72"/>
      <c r="BS676" s="72"/>
      <c r="BT676" s="72"/>
      <c r="BU676" s="72"/>
      <c r="BV676" s="72"/>
      <c r="BW676" s="72"/>
      <c r="BX676" s="72"/>
      <c r="BY676" s="72"/>
      <c r="BZ676" s="72"/>
      <c r="CA676" s="72"/>
      <c r="CB676" s="72"/>
      <c r="CC676" s="72"/>
      <c r="CD676" s="72"/>
      <c r="CE676" s="72"/>
      <c r="CF676" s="72"/>
      <c r="CG676" s="72"/>
      <c r="CH676" s="72"/>
      <c r="CI676" s="72"/>
      <c r="CJ676" s="72"/>
      <c r="CK676" s="72"/>
      <c r="CL676" s="72"/>
      <c r="CM676" s="72"/>
      <c r="CN676" s="72"/>
      <c r="CO676" s="72"/>
      <c r="CP676" s="72"/>
      <c r="CQ676" s="72"/>
      <c r="CR676" s="72"/>
      <c r="CS676" s="72"/>
    </row>
    <row r="677" spans="1:97" ht="13.2">
      <c r="A677" s="46"/>
      <c r="T677" s="46"/>
      <c r="AL677" s="8"/>
      <c r="AM677" s="72"/>
      <c r="AN677" s="72"/>
      <c r="AO677" s="72"/>
      <c r="AP677" s="72"/>
      <c r="AQ677" s="72"/>
      <c r="AR677" s="72"/>
      <c r="AS677" s="72"/>
      <c r="AT677" s="72"/>
      <c r="AU677" s="72"/>
      <c r="AV677" s="72"/>
      <c r="AW677" s="72"/>
      <c r="AX677" s="72"/>
      <c r="AY677" s="72"/>
      <c r="AZ677" s="72"/>
      <c r="BA677" s="72"/>
      <c r="BB677" s="72"/>
      <c r="BC677" s="72"/>
      <c r="BD677" s="72"/>
      <c r="BE677" s="72"/>
      <c r="BF677" s="72"/>
      <c r="BG677" s="72"/>
      <c r="BH677" s="72"/>
      <c r="BI677" s="72"/>
      <c r="BJ677" s="72"/>
      <c r="BK677" s="72"/>
      <c r="BL677" s="72"/>
      <c r="BM677" s="72"/>
      <c r="BN677" s="72"/>
      <c r="BO677" s="72"/>
      <c r="BP677" s="72"/>
      <c r="BQ677" s="72"/>
      <c r="BR677" s="72"/>
      <c r="BS677" s="72"/>
      <c r="BT677" s="72"/>
      <c r="BU677" s="72"/>
      <c r="BV677" s="72"/>
      <c r="BW677" s="72"/>
      <c r="BX677" s="72"/>
      <c r="BY677" s="72"/>
      <c r="BZ677" s="72"/>
      <c r="CA677" s="72"/>
      <c r="CB677" s="72"/>
      <c r="CC677" s="72"/>
      <c r="CD677" s="72"/>
      <c r="CE677" s="72"/>
      <c r="CF677" s="72"/>
      <c r="CG677" s="72"/>
      <c r="CH677" s="72"/>
      <c r="CI677" s="72"/>
      <c r="CJ677" s="72"/>
      <c r="CK677" s="72"/>
      <c r="CL677" s="72"/>
      <c r="CM677" s="72"/>
      <c r="CN677" s="72"/>
      <c r="CO677" s="72"/>
      <c r="CP677" s="72"/>
      <c r="CQ677" s="72"/>
      <c r="CR677" s="72"/>
      <c r="CS677" s="72"/>
    </row>
    <row r="678" spans="1:97" ht="12.75" customHeight="1">
      <c r="A678" s="101" t="s">
        <v>606</v>
      </c>
      <c r="B678" s="16" t="s">
        <v>93</v>
      </c>
      <c r="G678" s="1791">
        <f>C638</f>
        <v>0</v>
      </c>
      <c r="H678" s="1791"/>
      <c r="I678" s="1791"/>
      <c r="J678" s="1791"/>
      <c r="K678" s="1791"/>
      <c r="L678" s="1791"/>
      <c r="M678" s="1791"/>
      <c r="N678" s="1791"/>
      <c r="O678" s="1791"/>
      <c r="P678" s="1791"/>
      <c r="Q678" s="1791"/>
      <c r="R678" s="1791"/>
      <c r="T678" s="101" t="s">
        <v>191</v>
      </c>
      <c r="U678" s="16" t="s">
        <v>93</v>
      </c>
      <c r="Z678" s="1791">
        <f>C639</f>
        <v>0</v>
      </c>
      <c r="AA678" s="1791"/>
      <c r="AB678" s="1791"/>
      <c r="AC678" s="1791"/>
      <c r="AD678" s="1791"/>
      <c r="AE678" s="1791"/>
      <c r="AF678" s="1791"/>
      <c r="AG678" s="1791"/>
      <c r="AH678" s="1791"/>
      <c r="AI678" s="1791"/>
      <c r="AJ678" s="1791"/>
      <c r="AK678" s="1791"/>
      <c r="AL678" s="8"/>
      <c r="AM678" s="72"/>
      <c r="AN678" s="72"/>
      <c r="AO678" s="72"/>
      <c r="AP678" s="72"/>
      <c r="AQ678" s="72"/>
      <c r="AR678" s="72"/>
      <c r="AS678" s="72"/>
      <c r="AT678" s="72"/>
      <c r="AU678" s="72"/>
      <c r="AV678" s="72"/>
      <c r="AW678" s="72"/>
      <c r="AX678" s="72"/>
      <c r="AY678" s="72"/>
      <c r="AZ678" s="72"/>
      <c r="BA678" s="72"/>
      <c r="BB678" s="72"/>
      <c r="BC678" s="72"/>
      <c r="BD678" s="72"/>
      <c r="BE678" s="72"/>
      <c r="BF678" s="72"/>
      <c r="BG678" s="72"/>
      <c r="BH678" s="72"/>
      <c r="BI678" s="72"/>
      <c r="BJ678" s="72"/>
      <c r="BK678" s="72"/>
      <c r="BL678" s="72"/>
      <c r="BM678" s="72"/>
      <c r="BN678" s="72"/>
      <c r="BO678" s="72"/>
      <c r="BP678" s="72"/>
      <c r="BQ678" s="72"/>
      <c r="BR678" s="72"/>
      <c r="BS678" s="72"/>
      <c r="BT678" s="72"/>
      <c r="BU678" s="72"/>
      <c r="BV678" s="72"/>
      <c r="BW678" s="72"/>
      <c r="BX678" s="72"/>
      <c r="BY678" s="72"/>
      <c r="BZ678" s="72"/>
      <c r="CA678" s="72"/>
      <c r="CB678" s="72"/>
      <c r="CC678" s="72"/>
      <c r="CD678" s="72"/>
      <c r="CE678" s="72"/>
      <c r="CF678" s="72"/>
      <c r="CG678" s="72"/>
      <c r="CH678" s="72"/>
      <c r="CI678" s="72"/>
      <c r="CJ678" s="72"/>
      <c r="CK678" s="72"/>
      <c r="CL678" s="72"/>
      <c r="CM678" s="72"/>
      <c r="CN678" s="72"/>
      <c r="CO678" s="72"/>
      <c r="CP678" s="72"/>
      <c r="CQ678" s="72"/>
      <c r="CR678" s="72"/>
      <c r="CS678" s="72"/>
    </row>
    <row r="679" spans="1:97" ht="12.75" customHeight="1">
      <c r="A679" s="46"/>
      <c r="B679" s="16" t="s">
        <v>416</v>
      </c>
      <c r="G679" s="1788"/>
      <c r="H679" s="1788"/>
      <c r="I679" s="1788"/>
      <c r="J679" s="1788"/>
      <c r="K679" s="1788"/>
      <c r="L679" s="1788"/>
      <c r="M679" s="1788"/>
      <c r="N679" s="1788"/>
      <c r="O679" s="1788"/>
      <c r="P679" s="1788"/>
      <c r="Q679" s="1788"/>
      <c r="R679" s="1788"/>
      <c r="T679" s="46"/>
      <c r="U679" s="16" t="s">
        <v>416</v>
      </c>
      <c r="Z679" s="1788"/>
      <c r="AA679" s="1788"/>
      <c r="AB679" s="1788"/>
      <c r="AC679" s="1788"/>
      <c r="AD679" s="1788"/>
      <c r="AE679" s="1788"/>
      <c r="AF679" s="1788"/>
      <c r="AG679" s="1788"/>
      <c r="AH679" s="1788"/>
      <c r="AI679" s="1788"/>
      <c r="AJ679" s="1788"/>
      <c r="AK679" s="1788"/>
      <c r="AM679" s="72"/>
      <c r="AN679" s="72"/>
      <c r="AO679" s="72"/>
      <c r="AP679" s="72"/>
      <c r="AQ679" s="72"/>
      <c r="AR679" s="72"/>
      <c r="AS679" s="72"/>
      <c r="AT679" s="72"/>
      <c r="AU679" s="72"/>
      <c r="AV679" s="72"/>
      <c r="AW679" s="72"/>
      <c r="AX679" s="72"/>
      <c r="AY679" s="72"/>
      <c r="AZ679" s="72"/>
      <c r="BA679" s="72"/>
      <c r="BB679" s="72"/>
      <c r="BC679" s="72"/>
      <c r="BD679" s="72"/>
      <c r="BE679" s="72"/>
      <c r="BF679" s="72"/>
      <c r="BG679" s="72"/>
      <c r="BH679" s="72"/>
      <c r="BI679" s="72"/>
      <c r="BJ679" s="72"/>
      <c r="BK679" s="72"/>
      <c r="BL679" s="72"/>
      <c r="BM679" s="72"/>
      <c r="BN679" s="72"/>
      <c r="BO679" s="72"/>
      <c r="BP679" s="72"/>
      <c r="BQ679" s="72"/>
      <c r="BR679" s="72"/>
      <c r="BS679" s="72"/>
      <c r="BT679" s="72"/>
      <c r="BU679" s="72"/>
      <c r="BV679" s="72"/>
      <c r="BW679" s="72"/>
      <c r="BX679" s="72"/>
      <c r="BY679" s="72"/>
      <c r="BZ679" s="72"/>
      <c r="CA679" s="72"/>
      <c r="CB679" s="72"/>
      <c r="CC679" s="72"/>
      <c r="CD679" s="72"/>
      <c r="CE679" s="72"/>
      <c r="CF679" s="72"/>
      <c r="CG679" s="72"/>
      <c r="CH679" s="72"/>
      <c r="CI679" s="72"/>
      <c r="CJ679" s="72"/>
      <c r="CK679" s="72"/>
      <c r="CL679" s="72"/>
      <c r="CM679" s="72"/>
      <c r="CN679" s="72"/>
      <c r="CO679" s="72"/>
      <c r="CP679" s="72"/>
      <c r="CQ679" s="72"/>
      <c r="CR679" s="72"/>
      <c r="CS679" s="72"/>
    </row>
    <row r="680" spans="1:97" ht="12.75" customHeight="1">
      <c r="A680" s="46"/>
      <c r="B680" s="16" t="s">
        <v>479</v>
      </c>
      <c r="G680" s="1788"/>
      <c r="H680" s="1788"/>
      <c r="I680" s="1788"/>
      <c r="J680" s="1788"/>
      <c r="K680" s="1788"/>
      <c r="L680" s="1788"/>
      <c r="M680" s="1788"/>
      <c r="N680" s="1788"/>
      <c r="O680" s="1788"/>
      <c r="P680" s="1788"/>
      <c r="Q680" s="1788"/>
      <c r="R680" s="1788"/>
      <c r="T680" s="46"/>
      <c r="U680" s="16" t="s">
        <v>479</v>
      </c>
      <c r="Z680" s="1796"/>
      <c r="AA680" s="1796"/>
      <c r="AB680" s="1796"/>
      <c r="AC680" s="1796"/>
      <c r="AD680" s="1796"/>
      <c r="AE680" s="1796"/>
      <c r="AF680" s="1796"/>
      <c r="AG680" s="1796"/>
      <c r="AH680" s="1796"/>
      <c r="AI680" s="1796"/>
      <c r="AJ680" s="1796"/>
      <c r="AK680" s="1796"/>
      <c r="AM680" s="72"/>
      <c r="BA680" s="72"/>
      <c r="BB680" s="72"/>
      <c r="BC680" s="72"/>
      <c r="BD680" s="72"/>
      <c r="BE680" s="72"/>
      <c r="BF680" s="72"/>
      <c r="BG680" s="72"/>
      <c r="BH680" s="72"/>
      <c r="BI680" s="72"/>
      <c r="BJ680" s="72"/>
      <c r="BK680" s="72"/>
      <c r="BL680" s="72"/>
      <c r="BM680" s="72"/>
      <c r="BN680" s="72"/>
      <c r="BO680" s="72"/>
      <c r="BP680" s="72"/>
      <c r="BQ680" s="72"/>
      <c r="BR680" s="72"/>
      <c r="BS680" s="72"/>
      <c r="BT680" s="72"/>
      <c r="BU680" s="72"/>
      <c r="BV680" s="72"/>
      <c r="BW680" s="72"/>
      <c r="BX680" s="72"/>
      <c r="BY680" s="72"/>
      <c r="BZ680" s="72"/>
      <c r="CA680" s="72"/>
      <c r="CB680" s="72"/>
      <c r="CC680" s="72"/>
      <c r="CD680" s="72"/>
      <c r="CE680" s="72"/>
      <c r="CF680" s="72"/>
      <c r="CG680" s="72"/>
      <c r="CH680" s="72"/>
      <c r="CI680" s="72"/>
      <c r="CJ680" s="72"/>
      <c r="CK680" s="72"/>
      <c r="CL680" s="72"/>
      <c r="CM680" s="72"/>
      <c r="CN680" s="72"/>
      <c r="CO680" s="72"/>
      <c r="CP680" s="72"/>
      <c r="CQ680" s="72"/>
      <c r="CR680" s="72"/>
      <c r="CS680" s="72"/>
    </row>
    <row r="681" spans="1:97" ht="12.75" customHeight="1">
      <c r="A681" s="46"/>
      <c r="B681" s="16" t="s">
        <v>915</v>
      </c>
      <c r="G681" s="1788"/>
      <c r="H681" s="1788"/>
      <c r="I681" s="1788"/>
      <c r="J681" s="1788"/>
      <c r="K681" s="1788"/>
      <c r="L681" s="1788"/>
      <c r="M681" s="1788"/>
      <c r="N681" s="1788"/>
      <c r="O681" s="1788"/>
      <c r="P681" s="1788"/>
      <c r="Q681" s="1788"/>
      <c r="R681" s="1788"/>
      <c r="T681" s="46"/>
      <c r="U681" s="16" t="s">
        <v>915</v>
      </c>
      <c r="Z681" s="1796"/>
      <c r="AA681" s="1796"/>
      <c r="AB681" s="1796"/>
      <c r="AC681" s="1796"/>
      <c r="AD681" s="1796"/>
      <c r="AE681" s="1796"/>
      <c r="AF681" s="1796"/>
      <c r="AG681" s="1796"/>
      <c r="AH681" s="1796"/>
      <c r="AI681" s="1796"/>
      <c r="AJ681" s="1796"/>
      <c r="AK681" s="1796"/>
      <c r="AM681" s="72"/>
      <c r="BA681" s="72"/>
      <c r="BB681" s="72"/>
      <c r="BC681" s="72"/>
      <c r="BD681" s="72"/>
      <c r="BE681" s="72"/>
      <c r="BF681" s="72"/>
      <c r="BG681" s="72"/>
      <c r="BH681" s="72"/>
      <c r="BI681" s="72"/>
      <c r="BJ681" s="72"/>
      <c r="BK681" s="72"/>
      <c r="BL681" s="72"/>
      <c r="BM681" s="72"/>
      <c r="BN681" s="72"/>
      <c r="BO681" s="72"/>
      <c r="BP681" s="72"/>
      <c r="BQ681" s="72"/>
      <c r="BR681" s="72"/>
      <c r="BS681" s="72"/>
      <c r="BT681" s="72"/>
      <c r="BU681" s="72"/>
      <c r="BV681" s="72"/>
      <c r="BW681" s="72"/>
      <c r="BX681" s="72"/>
      <c r="BY681" s="72"/>
      <c r="BZ681" s="72"/>
      <c r="CA681" s="72"/>
      <c r="CB681" s="72"/>
      <c r="CC681" s="72"/>
      <c r="CD681" s="72"/>
      <c r="CE681" s="72"/>
      <c r="CF681" s="72"/>
      <c r="CG681" s="72"/>
      <c r="CH681" s="72"/>
      <c r="CI681" s="72"/>
      <c r="CJ681" s="72"/>
      <c r="CK681" s="72"/>
      <c r="CL681" s="72"/>
      <c r="CM681" s="72"/>
      <c r="CN681" s="72"/>
      <c r="CO681" s="72"/>
      <c r="CP681" s="72"/>
      <c r="CQ681" s="72"/>
      <c r="CR681" s="72"/>
      <c r="CS681" s="72"/>
    </row>
    <row r="682" spans="1:97" ht="12.75" customHeight="1">
      <c r="A682" s="46"/>
      <c r="B682" s="16" t="s">
        <v>716</v>
      </c>
      <c r="G682" s="1790"/>
      <c r="H682" s="1790"/>
      <c r="I682" s="1790"/>
      <c r="J682" s="1790"/>
      <c r="K682" s="1790"/>
      <c r="L682" s="1790"/>
      <c r="O682" s="149" t="s">
        <v>900</v>
      </c>
      <c r="P682" s="1785"/>
      <c r="Q682" s="1785"/>
      <c r="R682" s="1785"/>
      <c r="T682" s="46"/>
      <c r="U682" s="16" t="s">
        <v>716</v>
      </c>
      <c r="Z682" s="1790"/>
      <c r="AA682" s="1790"/>
      <c r="AB682" s="1790"/>
      <c r="AC682" s="1790"/>
      <c r="AD682" s="1790"/>
      <c r="AE682" s="1790"/>
      <c r="AH682" s="149" t="s">
        <v>900</v>
      </c>
      <c r="AI682" s="1785"/>
      <c r="AJ682" s="1785"/>
      <c r="AK682" s="1785"/>
      <c r="AM682" s="72"/>
      <c r="BA682" s="75"/>
      <c r="BB682" s="75"/>
      <c r="BC682" s="75"/>
      <c r="BD682" s="75"/>
      <c r="BE682" s="75"/>
      <c r="BF682" s="75"/>
      <c r="BG682" s="75"/>
      <c r="BH682" s="75"/>
      <c r="BI682" s="75"/>
      <c r="BJ682" s="75"/>
      <c r="BK682" s="75"/>
      <c r="BL682" s="75"/>
      <c r="BM682" s="75"/>
      <c r="BN682" s="75"/>
      <c r="BO682" s="72"/>
      <c r="BP682" s="72"/>
      <c r="BQ682" s="72"/>
      <c r="BR682" s="72"/>
      <c r="BS682" s="72"/>
      <c r="BT682" s="72"/>
      <c r="BU682" s="72"/>
      <c r="BV682" s="72"/>
      <c r="BW682" s="72"/>
      <c r="BX682" s="72"/>
      <c r="BY682" s="72"/>
      <c r="BZ682" s="72"/>
      <c r="CA682" s="72"/>
      <c r="CB682" s="72"/>
      <c r="CC682" s="72"/>
      <c r="CD682" s="72"/>
      <c r="CE682" s="72"/>
      <c r="CF682" s="72"/>
      <c r="CG682" s="72"/>
      <c r="CH682" s="72"/>
      <c r="CI682" s="72"/>
      <c r="CJ682" s="72"/>
      <c r="CK682" s="72"/>
      <c r="CL682" s="72"/>
      <c r="CM682" s="72"/>
      <c r="CN682" s="72"/>
      <c r="CO682" s="72"/>
      <c r="CP682" s="72"/>
      <c r="CQ682" s="72"/>
      <c r="CR682" s="72"/>
      <c r="CS682" s="72"/>
    </row>
    <row r="683" spans="1:97" ht="13.2">
      <c r="A683" s="46"/>
      <c r="B683" s="16" t="s">
        <v>916</v>
      </c>
      <c r="H683" s="1788"/>
      <c r="I683" s="1788"/>
      <c r="J683" s="1788"/>
      <c r="K683" s="1788"/>
      <c r="L683" s="1788"/>
      <c r="M683" s="1788"/>
      <c r="N683" s="1788"/>
      <c r="O683" s="1788"/>
      <c r="P683" s="1788"/>
      <c r="Q683" s="1788"/>
      <c r="R683" s="1788"/>
      <c r="T683" s="46"/>
      <c r="U683" s="16" t="s">
        <v>916</v>
      </c>
      <c r="AA683" s="1788"/>
      <c r="AB683" s="1788"/>
      <c r="AC683" s="1788"/>
      <c r="AD683" s="1788"/>
      <c r="AE683" s="1788"/>
      <c r="AF683" s="1788"/>
      <c r="AG683" s="1788"/>
      <c r="AH683" s="1788"/>
      <c r="AI683" s="1788"/>
      <c r="AJ683" s="1788"/>
      <c r="AK683" s="1788"/>
      <c r="AM683" s="75"/>
      <c r="BA683" s="75"/>
      <c r="BB683" s="75"/>
      <c r="BC683" s="75"/>
      <c r="BD683" s="75"/>
      <c r="BE683" s="75"/>
      <c r="BF683" s="75"/>
      <c r="BG683" s="75"/>
      <c r="BH683" s="75"/>
      <c r="BI683" s="75"/>
      <c r="BJ683" s="75"/>
      <c r="BK683" s="75"/>
      <c r="BL683" s="75"/>
      <c r="BM683" s="72"/>
      <c r="BN683" s="72"/>
      <c r="BO683" s="72"/>
      <c r="BP683" s="724" t="s">
        <v>2211</v>
      </c>
      <c r="BQ683" s="504"/>
      <c r="BR683" s="504"/>
      <c r="BS683" s="504"/>
      <c r="BT683" s="504"/>
      <c r="BU683" s="504"/>
      <c r="BV683" s="504"/>
      <c r="BW683" s="504"/>
      <c r="BX683" s="72"/>
      <c r="BY683" s="72"/>
      <c r="BZ683" s="72"/>
      <c r="CA683" s="72"/>
      <c r="CB683" s="72"/>
      <c r="CC683" s="72"/>
      <c r="CD683" s="72"/>
      <c r="CE683" s="72"/>
      <c r="CF683" s="72"/>
      <c r="CG683" s="72"/>
      <c r="CH683" s="72"/>
      <c r="CI683" s="72"/>
      <c r="CJ683" s="72"/>
      <c r="CK683" s="72"/>
      <c r="CL683" s="72"/>
      <c r="CM683" s="72"/>
      <c r="CN683" s="72"/>
      <c r="CO683" s="72"/>
      <c r="CP683" s="72"/>
      <c r="CQ683" s="72"/>
      <c r="CR683" s="72"/>
      <c r="CS683" s="72"/>
    </row>
    <row r="684" spans="1:97" ht="12.75" customHeight="1">
      <c r="B684" s="16" t="s">
        <v>918</v>
      </c>
      <c r="N684" s="1786" t="s">
        <v>531</v>
      </c>
      <c r="O684" s="1786"/>
      <c r="T684" s="46"/>
      <c r="U684" s="16" t="s">
        <v>918</v>
      </c>
      <c r="AG684" s="1786" t="s">
        <v>531</v>
      </c>
      <c r="AH684" s="1786"/>
      <c r="AM684" s="75"/>
      <c r="BA684" s="75"/>
      <c r="BB684" s="75"/>
      <c r="BC684" s="75"/>
      <c r="BD684" s="75"/>
      <c r="BE684" s="75"/>
      <c r="BF684" s="75"/>
      <c r="BG684" s="75"/>
      <c r="BH684" s="75"/>
      <c r="BI684" s="75"/>
      <c r="BJ684" s="75"/>
      <c r="BK684" s="75"/>
      <c r="BL684" s="75"/>
      <c r="BM684" s="72"/>
      <c r="BN684" s="72"/>
      <c r="BO684" s="72"/>
      <c r="BP684" s="725" t="s">
        <v>333</v>
      </c>
      <c r="BQ684" s="504"/>
      <c r="BR684" s="504"/>
      <c r="BS684" s="504"/>
      <c r="BT684" s="504"/>
      <c r="BU684" s="504"/>
      <c r="BV684" s="504"/>
      <c r="BW684" s="504"/>
      <c r="BX684" s="72"/>
      <c r="BY684" s="72"/>
      <c r="BZ684" s="72"/>
      <c r="CA684" s="72"/>
      <c r="CB684" s="72"/>
      <c r="CC684" s="72"/>
      <c r="CD684" s="72"/>
      <c r="CE684" s="72"/>
      <c r="CF684" s="72"/>
      <c r="CG684" s="72"/>
      <c r="CH684" s="72"/>
      <c r="CI684" s="72"/>
      <c r="CJ684" s="72"/>
      <c r="CK684" s="72"/>
      <c r="CL684" s="72"/>
      <c r="CM684" s="72"/>
      <c r="CN684" s="72"/>
      <c r="CO684" s="72"/>
      <c r="CP684" s="72"/>
      <c r="CQ684" s="72"/>
    </row>
    <row r="685" spans="1:97" ht="13.2">
      <c r="T685" s="46"/>
      <c r="AM685" s="75"/>
      <c r="BA685" s="75"/>
      <c r="BB685" s="75"/>
      <c r="BC685" s="75"/>
      <c r="BD685" s="75"/>
      <c r="BE685" s="75"/>
      <c r="BF685" s="75"/>
      <c r="BG685" s="75"/>
      <c r="BH685" s="75"/>
      <c r="BI685" s="75"/>
      <c r="BJ685" s="75"/>
      <c r="BK685" s="75"/>
      <c r="BL685" s="75"/>
      <c r="BM685" s="72"/>
      <c r="BN685" s="72"/>
      <c r="BO685" s="72"/>
      <c r="BP685" s="726"/>
      <c r="BQ685" s="501"/>
      <c r="BR685" s="727"/>
      <c r="BS685" s="727"/>
      <c r="BT685" s="727"/>
      <c r="BU685" s="727"/>
      <c r="BV685" s="727"/>
      <c r="BW685" s="727"/>
      <c r="BX685" s="72"/>
      <c r="BY685" s="72"/>
      <c r="BZ685" s="72"/>
      <c r="CA685" s="72"/>
      <c r="CB685" s="72"/>
      <c r="CC685" s="72"/>
      <c r="CD685" s="72"/>
      <c r="CE685" s="72"/>
      <c r="CF685" s="72"/>
      <c r="CG685" s="72"/>
      <c r="CH685" s="72"/>
      <c r="CI685" s="72"/>
      <c r="CJ685" s="72"/>
      <c r="CK685" s="72"/>
      <c r="CL685" s="72"/>
      <c r="CM685" s="72"/>
      <c r="CN685" s="72"/>
      <c r="CO685" s="72"/>
      <c r="CP685" s="72"/>
      <c r="CQ685" s="72"/>
    </row>
    <row r="686" spans="1:97" ht="13.2">
      <c r="A686" s="101" t="s">
        <v>37</v>
      </c>
      <c r="B686" s="16" t="s">
        <v>93</v>
      </c>
      <c r="G686" s="1791">
        <f>C640</f>
        <v>0</v>
      </c>
      <c r="H686" s="1791"/>
      <c r="I686" s="1791"/>
      <c r="J686" s="1791"/>
      <c r="K686" s="1791"/>
      <c r="L686" s="1791"/>
      <c r="M686" s="1791"/>
      <c r="N686" s="1791"/>
      <c r="O686" s="1791"/>
      <c r="P686" s="1791"/>
      <c r="Q686" s="1791"/>
      <c r="R686" s="1791"/>
      <c r="T686" s="101" t="s">
        <v>38</v>
      </c>
      <c r="U686" s="16" t="s">
        <v>93</v>
      </c>
      <c r="Z686" s="1791">
        <f>C641</f>
        <v>0</v>
      </c>
      <c r="AA686" s="1791"/>
      <c r="AB686" s="1791"/>
      <c r="AC686" s="1791"/>
      <c r="AD686" s="1791"/>
      <c r="AE686" s="1791"/>
      <c r="AF686" s="1791"/>
      <c r="AG686" s="1791"/>
      <c r="AH686" s="1791"/>
      <c r="AI686" s="1791"/>
      <c r="AJ686" s="1791"/>
      <c r="AK686" s="1791"/>
      <c r="AM686" s="75"/>
      <c r="BA686" s="503" t="s">
        <v>335</v>
      </c>
      <c r="BB686" s="75"/>
      <c r="BC686" s="75"/>
      <c r="BD686" s="75"/>
      <c r="BE686" s="75"/>
      <c r="BF686" s="75"/>
      <c r="BG686" s="63" t="s">
        <v>1258</v>
      </c>
      <c r="BH686" s="75"/>
      <c r="BI686" s="75"/>
      <c r="BJ686" s="75"/>
      <c r="BK686" s="75"/>
      <c r="BL686" s="75"/>
      <c r="BM686" s="72"/>
      <c r="BN686" s="72"/>
      <c r="BO686" s="72"/>
      <c r="BP686" s="904" t="s">
        <v>334</v>
      </c>
      <c r="BQ686" s="905" t="s">
        <v>490</v>
      </c>
      <c r="BR686" s="905" t="s">
        <v>491</v>
      </c>
      <c r="BS686" s="905" t="s">
        <v>853</v>
      </c>
      <c r="BT686" s="905" t="s">
        <v>854</v>
      </c>
      <c r="BU686" s="905" t="s">
        <v>855</v>
      </c>
      <c r="BV686" s="905" t="s">
        <v>383</v>
      </c>
      <c r="BX686" s="72"/>
      <c r="BY686" s="72"/>
      <c r="BZ686" s="72"/>
      <c r="CA686" s="72"/>
      <c r="CB686" s="72"/>
      <c r="CC686" s="72"/>
      <c r="CD686" s="72"/>
      <c r="CE686" s="72"/>
      <c r="CF686" s="72"/>
      <c r="CG686" s="72"/>
      <c r="CH686" s="72"/>
      <c r="CI686" s="72"/>
      <c r="CJ686" s="72"/>
      <c r="CK686" s="72"/>
      <c r="CL686" s="72"/>
      <c r="CM686" s="72"/>
      <c r="CN686" s="72"/>
      <c r="CO686" s="72"/>
      <c r="CP686" s="72"/>
      <c r="CQ686" s="72"/>
    </row>
    <row r="687" spans="1:97" ht="13.2">
      <c r="B687" s="16" t="s">
        <v>416</v>
      </c>
      <c r="G687" s="1788"/>
      <c r="H687" s="1788"/>
      <c r="I687" s="1788"/>
      <c r="J687" s="1788"/>
      <c r="K687" s="1788"/>
      <c r="L687" s="1788"/>
      <c r="M687" s="1788"/>
      <c r="N687" s="1788"/>
      <c r="O687" s="1788"/>
      <c r="P687" s="1788"/>
      <c r="Q687" s="1788"/>
      <c r="R687" s="1788"/>
      <c r="T687" s="46"/>
      <c r="U687" s="16" t="s">
        <v>416</v>
      </c>
      <c r="Z687" s="1788"/>
      <c r="AA687" s="1788"/>
      <c r="AB687" s="1788"/>
      <c r="AC687" s="1788"/>
      <c r="AD687" s="1788"/>
      <c r="AE687" s="1788"/>
      <c r="AF687" s="1788"/>
      <c r="AG687" s="1788"/>
      <c r="AH687" s="1788"/>
      <c r="AI687" s="1788"/>
      <c r="AJ687" s="1788"/>
      <c r="AK687" s="1788"/>
      <c r="AM687" s="75"/>
      <c r="BA687" s="75">
        <f t="shared" ref="BA687:BA711" si="22">IF($G704=0,"N/A",VLOOKUP($T$189,TC_Rent,(MATCH($B704,bedrooms,FALSE))))</f>
        <v>1224</v>
      </c>
      <c r="BB687" s="75"/>
      <c r="BC687" s="75"/>
      <c r="BD687" s="75"/>
      <c r="BE687" s="75"/>
      <c r="BF687" s="75"/>
      <c r="BG687" s="713" t="s">
        <v>1259</v>
      </c>
      <c r="BH687" s="731" t="s">
        <v>1260</v>
      </c>
      <c r="BI687" s="730" t="s">
        <v>1261</v>
      </c>
      <c r="BJ687" s="715"/>
      <c r="BK687" s="75"/>
      <c r="BL687" s="75"/>
      <c r="BM687" s="72"/>
      <c r="BN687" s="72"/>
      <c r="BO687" s="72"/>
      <c r="BP687" s="906" t="s">
        <v>32</v>
      </c>
      <c r="BQ687" s="907">
        <v>2284</v>
      </c>
      <c r="BR687" s="907">
        <v>2446</v>
      </c>
      <c r="BS687" s="907">
        <v>2936</v>
      </c>
      <c r="BT687" s="907">
        <v>3392</v>
      </c>
      <c r="BU687" s="907">
        <v>3784</v>
      </c>
      <c r="BV687" s="907">
        <v>4176</v>
      </c>
      <c r="BX687" s="72"/>
      <c r="BY687" s="72"/>
      <c r="BZ687" s="72"/>
      <c r="CA687" s="72"/>
      <c r="CB687" s="72"/>
      <c r="CC687" s="72"/>
      <c r="CD687" s="72"/>
      <c r="CE687" s="72"/>
      <c r="CF687" s="72"/>
      <c r="CG687" s="72"/>
      <c r="CH687" s="72"/>
      <c r="CI687" s="72"/>
      <c r="CJ687" s="72"/>
      <c r="CK687" s="72"/>
      <c r="CL687" s="72"/>
      <c r="CM687" s="72"/>
      <c r="CN687" s="72"/>
      <c r="CO687" s="72"/>
      <c r="CP687" s="72"/>
      <c r="CQ687" s="72"/>
    </row>
    <row r="688" spans="1:97" ht="13.2">
      <c r="B688" s="16" t="s">
        <v>479</v>
      </c>
      <c r="G688" s="1788"/>
      <c r="H688" s="1788"/>
      <c r="I688" s="1788"/>
      <c r="J688" s="1788"/>
      <c r="K688" s="1788"/>
      <c r="L688" s="1788"/>
      <c r="M688" s="1788"/>
      <c r="N688" s="1788"/>
      <c r="O688" s="1788"/>
      <c r="P688" s="1788"/>
      <c r="Q688" s="1788"/>
      <c r="R688" s="1788"/>
      <c r="U688" s="16" t="s">
        <v>479</v>
      </c>
      <c r="Z688" s="1796"/>
      <c r="AA688" s="1796"/>
      <c r="AB688" s="1796"/>
      <c r="AC688" s="1796"/>
      <c r="AD688" s="1796"/>
      <c r="AE688" s="1796"/>
      <c r="AF688" s="1796"/>
      <c r="AG688" s="1796"/>
      <c r="AH688" s="1796"/>
      <c r="AI688" s="1796"/>
      <c r="AJ688" s="1796"/>
      <c r="AK688" s="1796"/>
      <c r="AM688" s="75"/>
      <c r="BA688" s="75">
        <f t="shared" si="22"/>
        <v>1312</v>
      </c>
      <c r="BB688" s="75"/>
      <c r="BC688" s="75"/>
      <c r="BD688" s="75"/>
      <c r="BE688" s="75"/>
      <c r="BF688" s="75"/>
      <c r="BG688" s="703">
        <f t="shared" ref="BG688:BG712" si="23">G704</f>
        <v>15</v>
      </c>
      <c r="BH688" s="716">
        <f t="shared" ref="BH688:BH712" si="24">BG688/$BG$713</f>
        <v>0.375</v>
      </c>
      <c r="BI688" s="718">
        <f t="shared" ref="BI688:BI712" si="25">IF(BH688=0," ",BH688*AD704)</f>
        <v>0</v>
      </c>
      <c r="BJ688" s="75"/>
      <c r="BK688" s="75"/>
      <c r="BL688" s="75"/>
      <c r="BM688" s="72"/>
      <c r="BN688" s="72"/>
      <c r="BO688" s="72"/>
      <c r="BP688" s="908" t="s">
        <v>33</v>
      </c>
      <c r="BQ688" s="907">
        <v>1456</v>
      </c>
      <c r="BR688" s="907">
        <v>1560</v>
      </c>
      <c r="BS688" s="907">
        <v>1872</v>
      </c>
      <c r="BT688" s="907">
        <v>2162</v>
      </c>
      <c r="BU688" s="907">
        <v>2414</v>
      </c>
      <c r="BV688" s="907">
        <v>2662</v>
      </c>
      <c r="BX688" s="72"/>
      <c r="BY688" s="72"/>
      <c r="BZ688" s="72"/>
      <c r="CA688" s="72"/>
      <c r="CB688" s="72"/>
      <c r="CC688" s="72"/>
      <c r="CD688" s="72"/>
      <c r="CE688" s="72"/>
      <c r="CF688" s="72"/>
      <c r="CG688" s="72"/>
      <c r="CH688" s="72"/>
      <c r="CI688" s="72"/>
      <c r="CJ688" s="72"/>
      <c r="CK688" s="72"/>
      <c r="CL688" s="72"/>
      <c r="CM688" s="72"/>
      <c r="CN688" s="72"/>
      <c r="CO688" s="72"/>
      <c r="CP688" s="72"/>
      <c r="CQ688" s="72"/>
    </row>
    <row r="689" spans="1:95" ht="13.2">
      <c r="B689" s="16" t="s">
        <v>915</v>
      </c>
      <c r="G689" s="1788"/>
      <c r="H689" s="1788"/>
      <c r="I689" s="1788"/>
      <c r="J689" s="1788"/>
      <c r="K689" s="1788"/>
      <c r="L689" s="1788"/>
      <c r="M689" s="1788"/>
      <c r="N689" s="1788"/>
      <c r="O689" s="1788"/>
      <c r="P689" s="1788"/>
      <c r="Q689" s="1788"/>
      <c r="R689" s="1788"/>
      <c r="U689" s="16" t="s">
        <v>915</v>
      </c>
      <c r="Z689" s="1796"/>
      <c r="AA689" s="1796"/>
      <c r="AB689" s="1796"/>
      <c r="AC689" s="1796"/>
      <c r="AD689" s="1796"/>
      <c r="AE689" s="1796"/>
      <c r="AF689" s="1796"/>
      <c r="AG689" s="1796"/>
      <c r="AH689" s="1796"/>
      <c r="AI689" s="1796"/>
      <c r="AJ689" s="1796"/>
      <c r="AK689" s="1796"/>
      <c r="AM689" s="75"/>
      <c r="BA689" s="75">
        <f t="shared" si="22"/>
        <v>1312</v>
      </c>
      <c r="BB689" s="75"/>
      <c r="BC689" s="75"/>
      <c r="BD689" s="75"/>
      <c r="BE689" s="75"/>
      <c r="BF689" s="75"/>
      <c r="BG689" s="704">
        <f t="shared" si="23"/>
        <v>5</v>
      </c>
      <c r="BH689" s="716">
        <f t="shared" si="24"/>
        <v>0.125</v>
      </c>
      <c r="BI689" s="718">
        <f t="shared" si="25"/>
        <v>0</v>
      </c>
      <c r="BJ689" s="75"/>
      <c r="BK689" s="75"/>
      <c r="BL689" s="75"/>
      <c r="BM689" s="72"/>
      <c r="BN689" s="72"/>
      <c r="BO689" s="72"/>
      <c r="BP689" s="908" t="s">
        <v>432</v>
      </c>
      <c r="BQ689" s="907">
        <v>1376</v>
      </c>
      <c r="BR689" s="907">
        <v>1476</v>
      </c>
      <c r="BS689" s="907">
        <v>1772</v>
      </c>
      <c r="BT689" s="907">
        <v>2046</v>
      </c>
      <c r="BU689" s="907">
        <v>2282</v>
      </c>
      <c r="BV689" s="907">
        <v>2518</v>
      </c>
      <c r="BX689" s="72"/>
      <c r="BY689" s="72"/>
      <c r="BZ689" s="72"/>
      <c r="CA689" s="72"/>
      <c r="CB689" s="72"/>
      <c r="CC689" s="72"/>
      <c r="CD689" s="72"/>
      <c r="CE689" s="72"/>
      <c r="CF689" s="72"/>
      <c r="CG689" s="72"/>
      <c r="CH689" s="72"/>
      <c r="CI689" s="72"/>
      <c r="CJ689" s="72"/>
      <c r="CK689" s="72"/>
      <c r="CL689" s="72"/>
      <c r="CM689" s="72"/>
      <c r="CN689" s="72"/>
      <c r="CO689" s="72"/>
      <c r="CP689" s="72"/>
      <c r="CQ689" s="72"/>
    </row>
    <row r="690" spans="1:95" ht="12.75" customHeight="1">
      <c r="B690" s="16" t="s">
        <v>716</v>
      </c>
      <c r="G690" s="1790"/>
      <c r="H690" s="1790"/>
      <c r="I690" s="1790"/>
      <c r="J690" s="1790"/>
      <c r="K690" s="1790"/>
      <c r="L690" s="1790"/>
      <c r="O690" s="149" t="s">
        <v>900</v>
      </c>
      <c r="P690" s="1785"/>
      <c r="Q690" s="1785"/>
      <c r="R690" s="1785"/>
      <c r="U690" s="16" t="s">
        <v>716</v>
      </c>
      <c r="Z690" s="1790"/>
      <c r="AA690" s="1790"/>
      <c r="AB690" s="1790"/>
      <c r="AC690" s="1790"/>
      <c r="AD690" s="1790"/>
      <c r="AE690" s="1790"/>
      <c r="AH690" s="149" t="s">
        <v>900</v>
      </c>
      <c r="AI690" s="1785"/>
      <c r="AJ690" s="1785"/>
      <c r="AK690" s="1785"/>
      <c r="AM690" s="75"/>
      <c r="BA690" s="75">
        <f t="shared" si="22"/>
        <v>1574</v>
      </c>
      <c r="BB690" s="72"/>
      <c r="BC690" s="72"/>
      <c r="BD690" s="72"/>
      <c r="BE690" s="72"/>
      <c r="BF690" s="72"/>
      <c r="BG690" s="704">
        <f t="shared" si="23"/>
        <v>7</v>
      </c>
      <c r="BH690" s="716">
        <f t="shared" si="24"/>
        <v>0.17499999999999999</v>
      </c>
      <c r="BI690" s="718">
        <f t="shared" si="25"/>
        <v>0</v>
      </c>
      <c r="BJ690" s="72"/>
      <c r="BK690" s="72"/>
      <c r="BL690" s="72"/>
      <c r="BM690" s="72"/>
      <c r="BN690" s="72"/>
      <c r="BO690" s="72"/>
      <c r="BP690" s="908" t="s">
        <v>433</v>
      </c>
      <c r="BQ690" s="907">
        <v>1236</v>
      </c>
      <c r="BR690" s="907">
        <v>1326</v>
      </c>
      <c r="BS690" s="907">
        <v>1592</v>
      </c>
      <c r="BT690" s="907">
        <v>1838</v>
      </c>
      <c r="BU690" s="907">
        <v>2052</v>
      </c>
      <c r="BV690" s="907">
        <v>2262</v>
      </c>
      <c r="BX690" s="72"/>
      <c r="BY690" s="72"/>
      <c r="BZ690" s="72"/>
      <c r="CA690" s="72"/>
      <c r="CB690" s="72"/>
      <c r="CC690" s="72"/>
      <c r="CD690" s="72"/>
      <c r="CE690" s="72"/>
      <c r="CF690" s="72"/>
      <c r="CG690" s="72"/>
      <c r="CH690" s="72"/>
      <c r="CI690" s="72"/>
      <c r="CJ690" s="72"/>
      <c r="CK690" s="72"/>
      <c r="CL690" s="72"/>
      <c r="CM690" s="72"/>
      <c r="CN690" s="72"/>
      <c r="CO690" s="72"/>
      <c r="CP690" s="72"/>
      <c r="CQ690" s="72"/>
    </row>
    <row r="691" spans="1:95" ht="12.75" customHeight="1">
      <c r="B691" s="16" t="s">
        <v>916</v>
      </c>
      <c r="H691" s="1788"/>
      <c r="I691" s="1788"/>
      <c r="J691" s="1788"/>
      <c r="K691" s="1788"/>
      <c r="L691" s="1788"/>
      <c r="M691" s="1788"/>
      <c r="N691" s="1788"/>
      <c r="O691" s="1788"/>
      <c r="P691" s="1788"/>
      <c r="Q691" s="1788"/>
      <c r="R691" s="1788"/>
      <c r="U691" s="16" t="s">
        <v>916</v>
      </c>
      <c r="AA691" s="1788"/>
      <c r="AB691" s="1788"/>
      <c r="AC691" s="1788"/>
      <c r="AD691" s="1788"/>
      <c r="AE691" s="1788"/>
      <c r="AF691" s="1788"/>
      <c r="AG691" s="1788"/>
      <c r="AH691" s="1788"/>
      <c r="AI691" s="1788"/>
      <c r="AJ691" s="1788"/>
      <c r="AK691" s="1788"/>
      <c r="AM691" s="72"/>
      <c r="BA691" s="75">
        <f t="shared" si="22"/>
        <v>1574</v>
      </c>
      <c r="BB691" s="72"/>
      <c r="BC691" s="72"/>
      <c r="BD691" s="72"/>
      <c r="BE691" s="72"/>
      <c r="BF691" s="72"/>
      <c r="BG691" s="704">
        <f t="shared" si="23"/>
        <v>1</v>
      </c>
      <c r="BH691" s="716">
        <f t="shared" si="24"/>
        <v>2.5000000000000001E-2</v>
      </c>
      <c r="BI691" s="718">
        <f t="shared" si="25"/>
        <v>0</v>
      </c>
      <c r="BJ691" s="72"/>
      <c r="BK691" s="72"/>
      <c r="BL691" s="72"/>
      <c r="BM691" s="72"/>
      <c r="BN691" s="72"/>
      <c r="BO691" s="72"/>
      <c r="BP691" s="908" t="s">
        <v>434</v>
      </c>
      <c r="BQ691" s="907">
        <v>1406</v>
      </c>
      <c r="BR691" s="907">
        <v>1508</v>
      </c>
      <c r="BS691" s="907">
        <v>1810</v>
      </c>
      <c r="BT691" s="907">
        <v>2090</v>
      </c>
      <c r="BU691" s="907">
        <v>2332</v>
      </c>
      <c r="BV691" s="907">
        <v>2572</v>
      </c>
      <c r="BX691" s="72"/>
      <c r="BY691" s="72"/>
      <c r="BZ691" s="72"/>
      <c r="CA691" s="72"/>
      <c r="CB691" s="72"/>
      <c r="CC691" s="72"/>
      <c r="CD691" s="72"/>
      <c r="CE691" s="72"/>
      <c r="CF691" s="72"/>
      <c r="CG691" s="72"/>
      <c r="CH691" s="72"/>
      <c r="CI691" s="72"/>
      <c r="CJ691" s="72"/>
      <c r="CK691" s="72"/>
      <c r="CL691" s="72"/>
      <c r="CM691" s="72"/>
      <c r="CN691" s="72"/>
      <c r="CO691" s="72"/>
      <c r="CP691" s="72"/>
      <c r="CQ691" s="72"/>
    </row>
    <row r="692" spans="1:95" ht="13.2">
      <c r="B692" s="16" t="s">
        <v>918</v>
      </c>
      <c r="N692" s="1786" t="s">
        <v>531</v>
      </c>
      <c r="O692" s="1786"/>
      <c r="U692" s="16" t="s">
        <v>918</v>
      </c>
      <c r="AG692" s="1786" t="s">
        <v>531</v>
      </c>
      <c r="AH692" s="1786"/>
      <c r="AM692" s="72"/>
      <c r="BA692" s="75">
        <f t="shared" si="22"/>
        <v>1574</v>
      </c>
      <c r="BB692" s="72"/>
      <c r="BC692" s="72"/>
      <c r="BD692" s="72"/>
      <c r="BE692" s="72"/>
      <c r="BF692" s="72"/>
      <c r="BG692" s="704">
        <f t="shared" si="23"/>
        <v>2</v>
      </c>
      <c r="BH692" s="716">
        <f t="shared" si="24"/>
        <v>0.05</v>
      </c>
      <c r="BI692" s="718">
        <f t="shared" si="25"/>
        <v>0</v>
      </c>
      <c r="BJ692" s="72"/>
      <c r="BK692" s="72"/>
      <c r="BL692" s="72"/>
      <c r="BM692" s="72"/>
      <c r="BN692" s="72"/>
      <c r="BO692" s="72"/>
      <c r="BP692" s="908" t="s">
        <v>435</v>
      </c>
      <c r="BQ692" s="907">
        <v>1224</v>
      </c>
      <c r="BR692" s="907">
        <v>1312</v>
      </c>
      <c r="BS692" s="907">
        <v>1574</v>
      </c>
      <c r="BT692" s="907">
        <v>1816</v>
      </c>
      <c r="BU692" s="907">
        <v>2026</v>
      </c>
      <c r="BV692" s="907">
        <v>2236</v>
      </c>
      <c r="BX692" s="72"/>
      <c r="BY692" s="72"/>
      <c r="BZ692" s="72"/>
      <c r="CA692" s="72"/>
      <c r="CB692" s="72"/>
      <c r="CC692" s="72"/>
      <c r="CD692" s="72"/>
      <c r="CE692" s="72"/>
      <c r="CF692" s="72"/>
      <c r="CG692" s="72"/>
      <c r="CH692" s="72"/>
      <c r="CI692" s="72"/>
      <c r="CJ692" s="72"/>
      <c r="CK692" s="72"/>
      <c r="CL692" s="72"/>
      <c r="CM692" s="72"/>
      <c r="CN692" s="72"/>
      <c r="CO692" s="72"/>
      <c r="CP692" s="72"/>
      <c r="CQ692" s="72"/>
    </row>
    <row r="693" spans="1:95" ht="13.2">
      <c r="N693" s="390"/>
      <c r="O693" s="390"/>
      <c r="P693" s="50"/>
      <c r="AG693" s="390"/>
      <c r="AH693" s="390"/>
      <c r="AM693" s="72"/>
      <c r="BA693" s="75">
        <f t="shared" si="22"/>
        <v>1574</v>
      </c>
      <c r="BB693" s="72"/>
      <c r="BC693" s="72"/>
      <c r="BD693" s="72"/>
      <c r="BE693" s="72"/>
      <c r="BF693" s="72"/>
      <c r="BG693" s="704">
        <f t="shared" si="23"/>
        <v>3</v>
      </c>
      <c r="BH693" s="716">
        <f t="shared" si="24"/>
        <v>7.4999999999999997E-2</v>
      </c>
      <c r="BI693" s="718">
        <f t="shared" si="25"/>
        <v>0</v>
      </c>
      <c r="BJ693" s="72"/>
      <c r="BK693" s="72"/>
      <c r="BL693" s="72"/>
      <c r="BM693" s="72"/>
      <c r="BN693" s="72"/>
      <c r="BO693" s="72"/>
      <c r="BP693" s="908" t="s">
        <v>436</v>
      </c>
      <c r="BQ693" s="907">
        <v>2284</v>
      </c>
      <c r="BR693" s="907">
        <v>2446</v>
      </c>
      <c r="BS693" s="907">
        <v>2936</v>
      </c>
      <c r="BT693" s="907">
        <v>3392</v>
      </c>
      <c r="BU693" s="907">
        <v>3784</v>
      </c>
      <c r="BV693" s="907">
        <v>4176</v>
      </c>
      <c r="BX693" s="72"/>
      <c r="BY693" s="72"/>
      <c r="BZ693" s="72"/>
      <c r="CA693" s="72"/>
      <c r="CB693" s="72"/>
      <c r="CC693" s="72"/>
      <c r="CD693" s="72"/>
      <c r="CE693" s="72"/>
      <c r="CF693" s="72"/>
      <c r="CG693" s="72"/>
      <c r="CH693" s="72"/>
      <c r="CI693" s="72"/>
      <c r="CJ693" s="72"/>
      <c r="CK693" s="72"/>
      <c r="CL693" s="72"/>
      <c r="CM693" s="72"/>
      <c r="CN693" s="72"/>
      <c r="CO693" s="72"/>
      <c r="CP693" s="72"/>
      <c r="CQ693" s="72"/>
    </row>
    <row r="694" spans="1:95" ht="13.2">
      <c r="AM694" s="72"/>
      <c r="BA694" s="75">
        <f t="shared" si="22"/>
        <v>1816</v>
      </c>
      <c r="BB694" s="72"/>
      <c r="BC694" s="72"/>
      <c r="BD694" s="72"/>
      <c r="BE694" s="72"/>
      <c r="BF694" s="72"/>
      <c r="BG694" s="704">
        <f t="shared" si="23"/>
        <v>2</v>
      </c>
      <c r="BH694" s="716">
        <f t="shared" si="24"/>
        <v>0.05</v>
      </c>
      <c r="BI694" s="718">
        <f t="shared" si="25"/>
        <v>0</v>
      </c>
      <c r="BJ694" s="72"/>
      <c r="BK694" s="72"/>
      <c r="BL694" s="72"/>
      <c r="BM694" s="72"/>
      <c r="BN694" s="72"/>
      <c r="BO694" s="72"/>
      <c r="BP694" s="908" t="s">
        <v>437</v>
      </c>
      <c r="BQ694" s="907">
        <v>1224</v>
      </c>
      <c r="BR694" s="907">
        <v>1312</v>
      </c>
      <c r="BS694" s="907">
        <v>1574</v>
      </c>
      <c r="BT694" s="907">
        <v>1816</v>
      </c>
      <c r="BU694" s="907">
        <v>2026</v>
      </c>
      <c r="BV694" s="907">
        <v>2236</v>
      </c>
      <c r="BX694" s="72"/>
      <c r="BY694" s="72"/>
      <c r="BZ694" s="72"/>
      <c r="CA694" s="72"/>
      <c r="CB694" s="72"/>
      <c r="CC694" s="72"/>
      <c r="CD694" s="72"/>
      <c r="CE694" s="72"/>
      <c r="CF694" s="72"/>
      <c r="CG694" s="72"/>
      <c r="CH694" s="72"/>
      <c r="CI694" s="72"/>
      <c r="CJ694" s="72"/>
      <c r="CK694" s="72"/>
      <c r="CL694" s="72"/>
      <c r="CM694" s="72"/>
      <c r="CN694" s="72"/>
      <c r="CO694" s="72"/>
      <c r="CP694" s="72"/>
      <c r="CQ694" s="72"/>
    </row>
    <row r="695" spans="1:95" ht="13.2">
      <c r="A695" s="1792" t="s">
        <v>139</v>
      </c>
      <c r="B695" s="1792"/>
      <c r="C695" s="1792"/>
      <c r="D695" s="1792"/>
      <c r="E695" s="1792"/>
      <c r="F695" s="1792"/>
      <c r="G695" s="1792"/>
      <c r="H695" s="1792"/>
      <c r="I695" s="1792"/>
      <c r="J695" s="1792"/>
      <c r="K695" s="1792"/>
      <c r="L695" s="1792"/>
      <c r="M695" s="1792"/>
      <c r="N695" s="1792"/>
      <c r="O695" s="1792"/>
      <c r="P695" s="1792"/>
      <c r="Q695" s="1792"/>
      <c r="R695" s="1792"/>
      <c r="S695" s="1792"/>
      <c r="T695" s="1792"/>
      <c r="U695" s="1792"/>
      <c r="V695" s="1792"/>
      <c r="W695" s="1792"/>
      <c r="X695" s="1792"/>
      <c r="Y695" s="1792"/>
      <c r="Z695" s="1792"/>
      <c r="AA695" s="1792"/>
      <c r="AB695" s="1792"/>
      <c r="AC695" s="1792"/>
      <c r="AD695" s="1792"/>
      <c r="AE695" s="1792"/>
      <c r="AF695" s="1792"/>
      <c r="AG695" s="1792"/>
      <c r="AH695" s="1792"/>
      <c r="AI695" s="1792"/>
      <c r="AJ695" s="1792"/>
      <c r="AK695" s="1792"/>
      <c r="AL695" s="1792"/>
      <c r="AM695" s="1792"/>
      <c r="AN695" s="1792"/>
      <c r="AO695" s="1792"/>
      <c r="BA695" s="75">
        <f t="shared" si="22"/>
        <v>1816</v>
      </c>
      <c r="BB695" s="72"/>
      <c r="BC695" s="72"/>
      <c r="BD695" s="72"/>
      <c r="BE695" s="72"/>
      <c r="BF695" s="72"/>
      <c r="BG695" s="704">
        <f t="shared" si="23"/>
        <v>1</v>
      </c>
      <c r="BH695" s="716">
        <f t="shared" si="24"/>
        <v>2.5000000000000001E-2</v>
      </c>
      <c r="BI695" s="718">
        <f t="shared" si="25"/>
        <v>0</v>
      </c>
      <c r="BJ695" s="72"/>
      <c r="BK695" s="72"/>
      <c r="BL695" s="72"/>
      <c r="BM695" s="72"/>
      <c r="BN695" s="72"/>
      <c r="BO695" s="72"/>
      <c r="BP695" s="908" t="s">
        <v>438</v>
      </c>
      <c r="BQ695" s="907">
        <v>1512</v>
      </c>
      <c r="BR695" s="907">
        <v>1620</v>
      </c>
      <c r="BS695" s="907">
        <v>1942</v>
      </c>
      <c r="BT695" s="907">
        <v>2244</v>
      </c>
      <c r="BU695" s="907">
        <v>2504</v>
      </c>
      <c r="BV695" s="907">
        <v>2762</v>
      </c>
      <c r="BX695" s="72"/>
      <c r="BY695" s="72"/>
      <c r="BZ695" s="72"/>
      <c r="CA695" s="72"/>
      <c r="CB695" s="72"/>
      <c r="CC695" s="72"/>
      <c r="CD695" s="72"/>
      <c r="CE695" s="72"/>
      <c r="CF695" s="72"/>
      <c r="CG695" s="72"/>
      <c r="CH695" s="72"/>
      <c r="CI695" s="72"/>
      <c r="CJ695" s="72"/>
      <c r="CK695" s="72"/>
      <c r="CL695" s="72"/>
      <c r="CM695" s="72"/>
      <c r="CN695" s="72"/>
      <c r="CO695" s="72"/>
      <c r="CP695" s="72"/>
      <c r="CQ695" s="72"/>
    </row>
    <row r="696" spans="1:95" ht="13.2">
      <c r="A696" s="1792"/>
      <c r="B696" s="1792"/>
      <c r="C696" s="1792"/>
      <c r="D696" s="1792"/>
      <c r="E696" s="1792"/>
      <c r="F696" s="1792"/>
      <c r="G696" s="1792"/>
      <c r="H696" s="1792"/>
      <c r="I696" s="1792"/>
      <c r="J696" s="1792"/>
      <c r="K696" s="1792"/>
      <c r="L696" s="1792"/>
      <c r="M696" s="1792"/>
      <c r="N696" s="1792"/>
      <c r="O696" s="1792"/>
      <c r="P696" s="1792"/>
      <c r="Q696" s="1792"/>
      <c r="R696" s="1792"/>
      <c r="S696" s="1792"/>
      <c r="T696" s="1792"/>
      <c r="U696" s="1792"/>
      <c r="V696" s="1792"/>
      <c r="W696" s="1792"/>
      <c r="X696" s="1792"/>
      <c r="Y696" s="1792"/>
      <c r="Z696" s="1792"/>
      <c r="AA696" s="1792"/>
      <c r="AB696" s="1792"/>
      <c r="AC696" s="1792"/>
      <c r="AD696" s="1792"/>
      <c r="AE696" s="1792"/>
      <c r="AF696" s="1792"/>
      <c r="AG696" s="1792"/>
      <c r="AH696" s="1792"/>
      <c r="AI696" s="1792"/>
      <c r="AJ696" s="1792"/>
      <c r="AK696" s="1792"/>
      <c r="AL696" s="1792"/>
      <c r="AM696" s="1792"/>
      <c r="AN696" s="1792"/>
      <c r="AO696" s="1792"/>
      <c r="BA696" s="75">
        <f t="shared" si="22"/>
        <v>1816</v>
      </c>
      <c r="BE696" s="72"/>
      <c r="BF696" s="72"/>
      <c r="BG696" s="704">
        <f t="shared" si="23"/>
        <v>2</v>
      </c>
      <c r="BH696" s="716">
        <f t="shared" si="24"/>
        <v>0.05</v>
      </c>
      <c r="BI696" s="718">
        <f t="shared" si="25"/>
        <v>0</v>
      </c>
      <c r="BJ696" s="72"/>
      <c r="BK696" s="72"/>
      <c r="BL696" s="72"/>
      <c r="BM696" s="72"/>
      <c r="BN696" s="72"/>
      <c r="BO696" s="72"/>
      <c r="BP696" s="908" t="s">
        <v>439</v>
      </c>
      <c r="BQ696" s="907">
        <v>1224</v>
      </c>
      <c r="BR696" s="907">
        <v>1312</v>
      </c>
      <c r="BS696" s="907">
        <v>1574</v>
      </c>
      <c r="BT696" s="907">
        <v>1816</v>
      </c>
      <c r="BU696" s="907">
        <v>2026</v>
      </c>
      <c r="BV696" s="907">
        <v>2236</v>
      </c>
      <c r="BX696" s="72"/>
      <c r="BY696" s="72"/>
      <c r="BZ696" s="72"/>
      <c r="CA696" s="72"/>
      <c r="CB696" s="72"/>
      <c r="CC696" s="72"/>
      <c r="CD696" s="72"/>
      <c r="CE696" s="72"/>
      <c r="CF696" s="72"/>
      <c r="CG696" s="72"/>
      <c r="CH696" s="72"/>
      <c r="CI696" s="72"/>
      <c r="CJ696" s="72"/>
      <c r="CK696" s="72"/>
      <c r="CL696" s="72"/>
      <c r="CM696" s="72"/>
      <c r="CN696" s="72"/>
      <c r="CO696" s="72"/>
      <c r="CP696" s="72"/>
      <c r="CQ696" s="72"/>
    </row>
    <row r="697" spans="1:95" ht="13.2">
      <c r="A697" s="1792"/>
      <c r="B697" s="1792"/>
      <c r="C697" s="1792"/>
      <c r="D697" s="1792"/>
      <c r="E697" s="1792"/>
      <c r="F697" s="1792"/>
      <c r="G697" s="1792"/>
      <c r="H697" s="1792"/>
      <c r="I697" s="1792"/>
      <c r="J697" s="1792"/>
      <c r="K697" s="1792"/>
      <c r="L697" s="1792"/>
      <c r="M697" s="1792"/>
      <c r="N697" s="1792"/>
      <c r="O697" s="1792"/>
      <c r="P697" s="1792"/>
      <c r="Q697" s="1792"/>
      <c r="R697" s="1792"/>
      <c r="S697" s="1792"/>
      <c r="T697" s="1792"/>
      <c r="U697" s="1792"/>
      <c r="V697" s="1792"/>
      <c r="W697" s="1792"/>
      <c r="X697" s="1792"/>
      <c r="Y697" s="1792"/>
      <c r="Z697" s="1792"/>
      <c r="AA697" s="1792"/>
      <c r="AB697" s="1792"/>
      <c r="AC697" s="1792"/>
      <c r="AD697" s="1792"/>
      <c r="AE697" s="1792"/>
      <c r="AF697" s="1792"/>
      <c r="AG697" s="1792"/>
      <c r="AH697" s="1792"/>
      <c r="AI697" s="1792"/>
      <c r="AJ697" s="1792"/>
      <c r="AK697" s="1792"/>
      <c r="AL697" s="1792"/>
      <c r="AM697" s="1792"/>
      <c r="AN697" s="1792"/>
      <c r="AO697" s="1792"/>
      <c r="BA697" s="75" t="str">
        <f t="shared" si="22"/>
        <v>N/A</v>
      </c>
      <c r="BE697" s="72"/>
      <c r="BF697" s="72"/>
      <c r="BG697" s="704">
        <f t="shared" si="23"/>
        <v>2</v>
      </c>
      <c r="BH697" s="716">
        <f t="shared" si="24"/>
        <v>0.05</v>
      </c>
      <c r="BI697" s="718">
        <f t="shared" si="25"/>
        <v>0</v>
      </c>
      <c r="BJ697" s="72"/>
      <c r="BK697" s="72"/>
      <c r="BL697" s="72"/>
      <c r="BM697" s="72"/>
      <c r="BN697" s="72"/>
      <c r="BO697" s="72"/>
      <c r="BP697" s="908" t="s">
        <v>440</v>
      </c>
      <c r="BQ697" s="907">
        <v>1224</v>
      </c>
      <c r="BR697" s="907">
        <v>1312</v>
      </c>
      <c r="BS697" s="907">
        <v>1574</v>
      </c>
      <c r="BT697" s="907">
        <v>1816</v>
      </c>
      <c r="BU697" s="907">
        <v>2026</v>
      </c>
      <c r="BV697" s="907">
        <v>2236</v>
      </c>
      <c r="BX697" s="72"/>
      <c r="BY697" s="72"/>
      <c r="BZ697" s="72"/>
      <c r="CA697" s="72"/>
      <c r="CB697" s="72"/>
      <c r="CC697" s="72"/>
      <c r="CD697" s="72"/>
      <c r="CE697" s="72"/>
      <c r="CF697" s="72"/>
      <c r="CG697" s="72"/>
      <c r="CH697" s="72"/>
      <c r="CI697" s="72"/>
      <c r="CJ697" s="72"/>
      <c r="CK697" s="72"/>
      <c r="CL697" s="72"/>
      <c r="CM697" s="72"/>
      <c r="CN697" s="72"/>
      <c r="CO697" s="72"/>
      <c r="CP697" s="72"/>
      <c r="CQ697" s="72"/>
    </row>
    <row r="698" spans="1:95" ht="13.2">
      <c r="A698" s="116" t="s">
        <v>719</v>
      </c>
      <c r="B698" s="116"/>
      <c r="C698" s="116" t="s">
        <v>917</v>
      </c>
      <c r="D698" s="1396"/>
      <c r="E698" s="1396"/>
      <c r="F698" s="1396"/>
      <c r="G698" s="1396"/>
      <c r="H698" s="1396"/>
      <c r="I698" s="1396"/>
      <c r="J698" s="1396"/>
      <c r="K698" s="1396"/>
      <c r="L698" s="1396"/>
      <c r="M698" s="1396"/>
      <c r="N698" s="1396"/>
      <c r="O698" s="1396"/>
      <c r="P698" s="1396"/>
      <c r="Q698" s="1396"/>
      <c r="R698" s="1396"/>
      <c r="S698" s="1396"/>
      <c r="T698" s="1396"/>
      <c r="U698" s="1396"/>
      <c r="V698" s="1396"/>
      <c r="W698" s="1396"/>
      <c r="X698" s="1396"/>
      <c r="Y698" s="1396"/>
      <c r="Z698" s="1396"/>
      <c r="AA698" s="1396"/>
      <c r="AB698" s="1396"/>
      <c r="AC698" s="1396"/>
      <c r="AD698" s="1396"/>
      <c r="AE698" s="1396"/>
      <c r="AF698" s="1396"/>
      <c r="AG698" s="1396"/>
      <c r="AH698" s="1396"/>
      <c r="AI698" s="1396"/>
      <c r="AJ698" s="1396"/>
      <c r="AK698" s="1396"/>
      <c r="AL698" s="1396"/>
      <c r="AM698" s="395"/>
      <c r="AN698" s="395"/>
      <c r="AO698" s="395"/>
      <c r="BA698" s="75" t="str">
        <f t="shared" si="22"/>
        <v>N/A</v>
      </c>
      <c r="BE698" s="72"/>
      <c r="BF698" s="72"/>
      <c r="BG698" s="704">
        <f t="shared" si="23"/>
        <v>0</v>
      </c>
      <c r="BH698" s="716">
        <f t="shared" si="24"/>
        <v>0</v>
      </c>
      <c r="BI698" s="718" t="str">
        <f t="shared" si="25"/>
        <v xml:space="preserve"> </v>
      </c>
      <c r="BJ698" s="72"/>
      <c r="BK698" s="72"/>
      <c r="BL698" s="72"/>
      <c r="BM698" s="72"/>
      <c r="BN698" s="72"/>
      <c r="BO698" s="72"/>
      <c r="BP698" s="908" t="s">
        <v>441</v>
      </c>
      <c r="BQ698" s="907">
        <v>1224</v>
      </c>
      <c r="BR698" s="907">
        <v>1312</v>
      </c>
      <c r="BS698" s="907">
        <v>1574</v>
      </c>
      <c r="BT698" s="907">
        <v>1816</v>
      </c>
      <c r="BU698" s="907">
        <v>2026</v>
      </c>
      <c r="BV698" s="907">
        <v>2236</v>
      </c>
      <c r="BX698" s="72"/>
      <c r="BY698" s="72"/>
      <c r="BZ698" s="72"/>
      <c r="CA698" s="72"/>
      <c r="CB698" s="72"/>
      <c r="CC698" s="72"/>
      <c r="CD698" s="72"/>
      <c r="CE698" s="72"/>
      <c r="CF698" s="72"/>
      <c r="CG698" s="72"/>
      <c r="CH698" s="72"/>
      <c r="CI698" s="72"/>
      <c r="CJ698" s="72"/>
      <c r="CK698" s="72"/>
      <c r="CL698" s="72"/>
      <c r="CM698" s="72"/>
      <c r="CN698" s="72"/>
      <c r="CO698" s="72"/>
      <c r="CP698" s="72"/>
      <c r="CQ698" s="72"/>
    </row>
    <row r="699" spans="1:95" ht="13.2">
      <c r="A699" s="116"/>
      <c r="B699" s="1451"/>
      <c r="C699" s="116"/>
      <c r="D699" s="1396"/>
      <c r="E699" s="1396"/>
      <c r="F699" s="1396"/>
      <c r="G699" s="1396"/>
      <c r="H699" s="1396"/>
      <c r="I699" s="1396"/>
      <c r="J699" s="1396"/>
      <c r="K699" s="1396"/>
      <c r="L699" s="1396"/>
      <c r="M699" s="1396"/>
      <c r="N699" s="1396"/>
      <c r="O699" s="1396"/>
      <c r="P699" s="1396"/>
      <c r="Q699" s="1396"/>
      <c r="R699" s="1396"/>
      <c r="S699" s="1396"/>
      <c r="T699" s="1396"/>
      <c r="U699" s="1396"/>
      <c r="V699" s="1396"/>
      <c r="W699" s="1396"/>
      <c r="X699" s="1396"/>
      <c r="Y699" s="1396"/>
      <c r="Z699" s="1396"/>
      <c r="AA699" s="1396"/>
      <c r="AB699" s="1396"/>
      <c r="AC699" s="1396"/>
      <c r="AD699" s="1396"/>
      <c r="AE699" s="1396"/>
      <c r="AF699" s="1396"/>
      <c r="AG699" s="1396"/>
      <c r="AH699" s="1396"/>
      <c r="AI699" s="1396"/>
      <c r="AJ699" s="1396"/>
      <c r="AK699" s="1396"/>
      <c r="AL699" s="1396"/>
      <c r="AM699" s="395"/>
      <c r="AN699" s="395"/>
      <c r="AO699" s="395"/>
      <c r="BA699" s="75" t="str">
        <f t="shared" si="22"/>
        <v>N/A</v>
      </c>
      <c r="BE699" s="72"/>
      <c r="BF699" s="72"/>
      <c r="BG699" s="704">
        <f t="shared" si="23"/>
        <v>0</v>
      </c>
      <c r="BH699" s="716">
        <f t="shared" si="24"/>
        <v>0</v>
      </c>
      <c r="BI699" s="718" t="str">
        <f t="shared" si="25"/>
        <v xml:space="preserve"> </v>
      </c>
      <c r="BJ699" s="72"/>
      <c r="BK699" s="72"/>
      <c r="BL699" s="72"/>
      <c r="BM699" s="72"/>
      <c r="BN699" s="72"/>
      <c r="BO699" s="72"/>
      <c r="BP699" s="908" t="s">
        <v>442</v>
      </c>
      <c r="BQ699" s="907">
        <v>1224</v>
      </c>
      <c r="BR699" s="907">
        <v>1312</v>
      </c>
      <c r="BS699" s="907">
        <v>1574</v>
      </c>
      <c r="BT699" s="907">
        <v>1816</v>
      </c>
      <c r="BU699" s="907">
        <v>2026</v>
      </c>
      <c r="BV699" s="907">
        <v>2236</v>
      </c>
      <c r="BX699" s="72"/>
      <c r="BY699" s="72"/>
      <c r="BZ699" s="72"/>
      <c r="CA699" s="72"/>
      <c r="CB699" s="72"/>
      <c r="CC699" s="72"/>
      <c r="CD699" s="72"/>
      <c r="CE699" s="72"/>
      <c r="CF699" s="72"/>
      <c r="CG699" s="72"/>
      <c r="CH699" s="72"/>
      <c r="CI699" s="72"/>
      <c r="CJ699" s="72"/>
      <c r="CK699" s="72"/>
      <c r="CL699" s="72"/>
      <c r="CM699" s="72"/>
      <c r="CN699" s="72"/>
      <c r="CO699" s="72"/>
      <c r="CP699" s="72"/>
      <c r="CQ699" s="72"/>
    </row>
    <row r="700" spans="1:95" ht="12.75" customHeight="1">
      <c r="A700" s="1396"/>
      <c r="B700" s="1823" t="s">
        <v>59</v>
      </c>
      <c r="C700" s="1824"/>
      <c r="D700" s="1824"/>
      <c r="E700" s="1824"/>
      <c r="F700" s="1825"/>
      <c r="G700" s="1823" t="s">
        <v>284</v>
      </c>
      <c r="H700" s="1824"/>
      <c r="I700" s="1824"/>
      <c r="J700" s="1825"/>
      <c r="K700" s="1817" t="s">
        <v>2296</v>
      </c>
      <c r="L700" s="1818"/>
      <c r="M700" s="1818"/>
      <c r="N700" s="1819"/>
      <c r="O700" s="1823" t="s">
        <v>655</v>
      </c>
      <c r="P700" s="1824"/>
      <c r="Q700" s="1824"/>
      <c r="R700" s="1824"/>
      <c r="S700" s="1825"/>
      <c r="T700" s="1823" t="s">
        <v>285</v>
      </c>
      <c r="U700" s="1824"/>
      <c r="V700" s="1824"/>
      <c r="W700" s="1824"/>
      <c r="X700" s="1825"/>
      <c r="Y700" s="1823" t="s">
        <v>286</v>
      </c>
      <c r="Z700" s="1824"/>
      <c r="AA700" s="1824"/>
      <c r="AB700" s="1825"/>
      <c r="AC700" s="1823" t="s">
        <v>287</v>
      </c>
      <c r="AD700" s="1824"/>
      <c r="AE700" s="1824"/>
      <c r="AF700" s="1824"/>
      <c r="AG700" s="1825"/>
      <c r="AH700" s="1823" t="s">
        <v>2297</v>
      </c>
      <c r="AI700" s="1824"/>
      <c r="AJ700" s="1824"/>
      <c r="AK700" s="1824"/>
      <c r="AL700" s="1825"/>
      <c r="AM700" s="1823" t="s">
        <v>2298</v>
      </c>
      <c r="AN700" s="1824"/>
      <c r="AO700" s="1825"/>
      <c r="BA700" s="75" t="str">
        <f t="shared" si="22"/>
        <v>N/A</v>
      </c>
      <c r="BB700" s="72"/>
      <c r="BC700" s="72"/>
      <c r="BD700" s="72"/>
      <c r="BE700" s="72"/>
      <c r="BF700" s="72"/>
      <c r="BG700" s="704">
        <f t="shared" si="23"/>
        <v>0</v>
      </c>
      <c r="BH700" s="716">
        <f t="shared" si="24"/>
        <v>0</v>
      </c>
      <c r="BI700" s="718" t="str">
        <f t="shared" si="25"/>
        <v xml:space="preserve"> </v>
      </c>
      <c r="BJ700" s="72"/>
      <c r="BK700" s="72"/>
      <c r="BL700" s="72"/>
      <c r="BM700" s="72"/>
      <c r="BN700" s="72"/>
      <c r="BO700" s="72"/>
      <c r="BP700" s="908" t="s">
        <v>443</v>
      </c>
      <c r="BQ700" s="907">
        <v>1314</v>
      </c>
      <c r="BR700" s="907">
        <v>1408</v>
      </c>
      <c r="BS700" s="907">
        <v>1690</v>
      </c>
      <c r="BT700" s="907">
        <v>1952</v>
      </c>
      <c r="BU700" s="907">
        <v>2180</v>
      </c>
      <c r="BV700" s="907">
        <v>2404</v>
      </c>
      <c r="BX700" s="72"/>
      <c r="BY700" s="72"/>
      <c r="BZ700" s="72"/>
      <c r="CA700" s="72"/>
      <c r="CB700" s="72"/>
      <c r="CC700" s="72"/>
      <c r="CD700" s="72"/>
      <c r="CE700" s="72"/>
      <c r="CF700" s="72"/>
      <c r="CG700" s="72"/>
      <c r="CH700" s="72"/>
      <c r="CI700" s="72"/>
      <c r="CJ700" s="72"/>
      <c r="CK700" s="72"/>
      <c r="CL700" s="72"/>
      <c r="CM700" s="72"/>
      <c r="CN700" s="72"/>
      <c r="CO700" s="72"/>
      <c r="CP700" s="72"/>
      <c r="CQ700" s="72"/>
    </row>
    <row r="701" spans="1:95" ht="13.2">
      <c r="A701" s="1396"/>
      <c r="B701" s="1826"/>
      <c r="C701" s="1827"/>
      <c r="D701" s="1827"/>
      <c r="E701" s="1827"/>
      <c r="F701" s="1828"/>
      <c r="G701" s="1826"/>
      <c r="H701" s="1827"/>
      <c r="I701" s="1827"/>
      <c r="J701" s="1828"/>
      <c r="K701" s="1820"/>
      <c r="L701" s="1821"/>
      <c r="M701" s="1821"/>
      <c r="N701" s="1822"/>
      <c r="O701" s="1826"/>
      <c r="P701" s="1827"/>
      <c r="Q701" s="1827"/>
      <c r="R701" s="1827"/>
      <c r="S701" s="1828"/>
      <c r="T701" s="1826"/>
      <c r="U701" s="1827"/>
      <c r="V701" s="1827"/>
      <c r="W701" s="1827"/>
      <c r="X701" s="1828"/>
      <c r="Y701" s="1826"/>
      <c r="Z701" s="1827"/>
      <c r="AA701" s="1827"/>
      <c r="AB701" s="1828"/>
      <c r="AC701" s="1826"/>
      <c r="AD701" s="1827"/>
      <c r="AE701" s="1827"/>
      <c r="AF701" s="1827"/>
      <c r="AG701" s="1828"/>
      <c r="AH701" s="1826"/>
      <c r="AI701" s="1827"/>
      <c r="AJ701" s="1827"/>
      <c r="AK701" s="1827"/>
      <c r="AL701" s="1828"/>
      <c r="AM701" s="1826"/>
      <c r="AN701" s="1827"/>
      <c r="AO701" s="1828"/>
      <c r="BA701" s="75" t="str">
        <f t="shared" si="22"/>
        <v>N/A</v>
      </c>
      <c r="BB701" s="72"/>
      <c r="BC701" s="72"/>
      <c r="BD701" s="72"/>
      <c r="BE701" s="72"/>
      <c r="BF701" s="72"/>
      <c r="BG701" s="704">
        <f t="shared" si="23"/>
        <v>0</v>
      </c>
      <c r="BH701" s="716">
        <f t="shared" si="24"/>
        <v>0</v>
      </c>
      <c r="BI701" s="718" t="str">
        <f t="shared" si="25"/>
        <v xml:space="preserve"> </v>
      </c>
      <c r="BJ701" s="72"/>
      <c r="BK701" s="72"/>
      <c r="BL701" s="72"/>
      <c r="BM701" s="72"/>
      <c r="BN701" s="72"/>
      <c r="BO701" s="72"/>
      <c r="BP701" s="908" t="s">
        <v>444</v>
      </c>
      <c r="BQ701" s="907">
        <v>1224</v>
      </c>
      <c r="BR701" s="907">
        <v>1312</v>
      </c>
      <c r="BS701" s="907">
        <v>1574</v>
      </c>
      <c r="BT701" s="907">
        <v>1816</v>
      </c>
      <c r="BU701" s="907">
        <v>2026</v>
      </c>
      <c r="BV701" s="907">
        <v>2236</v>
      </c>
      <c r="BX701" s="72"/>
      <c r="BY701" s="72"/>
      <c r="BZ701" s="72"/>
      <c r="CA701" s="72"/>
      <c r="CB701" s="72"/>
      <c r="CC701" s="72"/>
      <c r="CD701" s="72"/>
      <c r="CE701" s="72"/>
      <c r="CF701" s="72"/>
      <c r="CG701" s="72"/>
      <c r="CH701" s="72"/>
      <c r="CI701" s="72"/>
      <c r="CJ701" s="72"/>
      <c r="CK701" s="72"/>
      <c r="CL701" s="72"/>
      <c r="CM701" s="72"/>
      <c r="CN701" s="72"/>
      <c r="CO701" s="72"/>
      <c r="CP701" s="72"/>
      <c r="CQ701" s="72"/>
    </row>
    <row r="702" spans="1:95" ht="13.2">
      <c r="A702" s="327"/>
      <c r="B702" s="1826"/>
      <c r="C702" s="1827"/>
      <c r="D702" s="1827"/>
      <c r="E702" s="1827"/>
      <c r="F702" s="1828"/>
      <c r="G702" s="1826"/>
      <c r="H702" s="1827"/>
      <c r="I702" s="1827"/>
      <c r="J702" s="1828"/>
      <c r="K702" s="1820"/>
      <c r="L702" s="1821"/>
      <c r="M702" s="1821"/>
      <c r="N702" s="1822"/>
      <c r="O702" s="1826"/>
      <c r="P702" s="1827"/>
      <c r="Q702" s="1827"/>
      <c r="R702" s="1827"/>
      <c r="S702" s="1828"/>
      <c r="T702" s="1826"/>
      <c r="U702" s="1827"/>
      <c r="V702" s="1827"/>
      <c r="W702" s="1827"/>
      <c r="X702" s="1828"/>
      <c r="Y702" s="1826"/>
      <c r="Z702" s="1827"/>
      <c r="AA702" s="1827"/>
      <c r="AB702" s="1828"/>
      <c r="AC702" s="1826"/>
      <c r="AD702" s="1827"/>
      <c r="AE702" s="1827"/>
      <c r="AF702" s="1827"/>
      <c r="AG702" s="1828"/>
      <c r="AH702" s="1826"/>
      <c r="AI702" s="1827"/>
      <c r="AJ702" s="1827"/>
      <c r="AK702" s="1827"/>
      <c r="AL702" s="1828"/>
      <c r="AM702" s="1826"/>
      <c r="AN702" s="1827"/>
      <c r="AO702" s="1828"/>
      <c r="BA702" s="75" t="str">
        <f t="shared" si="22"/>
        <v>N/A</v>
      </c>
      <c r="BB702" s="72"/>
      <c r="BC702" s="72"/>
      <c r="BD702" s="72"/>
      <c r="BE702" s="72"/>
      <c r="BF702" s="72"/>
      <c r="BG702" s="704">
        <f t="shared" si="23"/>
        <v>0</v>
      </c>
      <c r="BH702" s="716">
        <f t="shared" si="24"/>
        <v>0</v>
      </c>
      <c r="BI702" s="718" t="str">
        <f t="shared" si="25"/>
        <v xml:space="preserve"> </v>
      </c>
      <c r="BJ702" s="72"/>
      <c r="BK702" s="72"/>
      <c r="BL702" s="72"/>
      <c r="BM702" s="72"/>
      <c r="BN702" s="72"/>
      <c r="BO702" s="72"/>
      <c r="BP702" s="908" t="s">
        <v>445</v>
      </c>
      <c r="BQ702" s="907">
        <v>1224</v>
      </c>
      <c r="BR702" s="907">
        <v>1312</v>
      </c>
      <c r="BS702" s="907">
        <v>1574</v>
      </c>
      <c r="BT702" s="907">
        <v>1816</v>
      </c>
      <c r="BU702" s="907">
        <v>2026</v>
      </c>
      <c r="BV702" s="907">
        <v>2236</v>
      </c>
      <c r="BX702" s="72"/>
      <c r="BY702" s="72"/>
      <c r="BZ702" s="72"/>
      <c r="CA702" s="72"/>
      <c r="CB702" s="72"/>
      <c r="CC702" s="72"/>
      <c r="CD702" s="72"/>
      <c r="CE702" s="72"/>
      <c r="CF702" s="72"/>
      <c r="CG702" s="72"/>
      <c r="CH702" s="72"/>
      <c r="CI702" s="72"/>
      <c r="CJ702" s="72"/>
      <c r="CK702" s="72"/>
      <c r="CL702" s="72"/>
      <c r="CM702" s="72"/>
      <c r="CN702" s="72"/>
      <c r="CO702" s="72"/>
      <c r="CP702" s="72"/>
      <c r="CQ702" s="72"/>
    </row>
    <row r="703" spans="1:95" ht="13.2">
      <c r="A703" s="327"/>
      <c r="B703" s="1829"/>
      <c r="C703" s="1830"/>
      <c r="D703" s="1830"/>
      <c r="E703" s="1830"/>
      <c r="F703" s="1831"/>
      <c r="G703" s="1829"/>
      <c r="H703" s="1830"/>
      <c r="I703" s="1830"/>
      <c r="J703" s="1831"/>
      <c r="K703" s="1820"/>
      <c r="L703" s="1821"/>
      <c r="M703" s="1821"/>
      <c r="N703" s="1822"/>
      <c r="O703" s="1829"/>
      <c r="P703" s="1830"/>
      <c r="Q703" s="1830"/>
      <c r="R703" s="1830"/>
      <c r="S703" s="1831"/>
      <c r="T703" s="1829"/>
      <c r="U703" s="1830"/>
      <c r="V703" s="1830"/>
      <c r="W703" s="1830"/>
      <c r="X703" s="1831"/>
      <c r="Y703" s="1829"/>
      <c r="Z703" s="1830"/>
      <c r="AA703" s="1830"/>
      <c r="AB703" s="1831"/>
      <c r="AC703" s="1829"/>
      <c r="AD703" s="1830"/>
      <c r="AE703" s="1830"/>
      <c r="AF703" s="1830"/>
      <c r="AG703" s="1831"/>
      <c r="AH703" s="1829"/>
      <c r="AI703" s="1830"/>
      <c r="AJ703" s="1830"/>
      <c r="AK703" s="1830"/>
      <c r="AL703" s="1831"/>
      <c r="AM703" s="1829"/>
      <c r="AN703" s="1830"/>
      <c r="AO703" s="1831"/>
      <c r="BA703" s="75" t="str">
        <f t="shared" si="22"/>
        <v>N/A</v>
      </c>
      <c r="BB703" s="72"/>
      <c r="BC703" s="72"/>
      <c r="BD703" s="72"/>
      <c r="BE703" s="72"/>
      <c r="BF703" s="72"/>
      <c r="BG703" s="704">
        <f t="shared" si="23"/>
        <v>0</v>
      </c>
      <c r="BH703" s="716">
        <f t="shared" si="24"/>
        <v>0</v>
      </c>
      <c r="BI703" s="718" t="str">
        <f t="shared" si="25"/>
        <v xml:space="preserve"> </v>
      </c>
      <c r="BJ703" s="72"/>
      <c r="BK703" s="72"/>
      <c r="BL703" s="72"/>
      <c r="BM703" s="72"/>
      <c r="BN703" s="72"/>
      <c r="BO703" s="72"/>
      <c r="BP703" s="908" t="s">
        <v>446</v>
      </c>
      <c r="BQ703" s="907">
        <v>1224</v>
      </c>
      <c r="BR703" s="907">
        <v>1312</v>
      </c>
      <c r="BS703" s="907">
        <v>1574</v>
      </c>
      <c r="BT703" s="907">
        <v>1816</v>
      </c>
      <c r="BU703" s="907">
        <v>2026</v>
      </c>
      <c r="BV703" s="907">
        <v>2236</v>
      </c>
      <c r="BX703" s="72"/>
      <c r="BY703" s="72"/>
      <c r="BZ703" s="72"/>
      <c r="CA703" s="72"/>
      <c r="CB703" s="72"/>
      <c r="CC703" s="72"/>
      <c r="CD703" s="72"/>
      <c r="CE703" s="72"/>
      <c r="CF703" s="72"/>
      <c r="CG703" s="72"/>
      <c r="CH703" s="72"/>
      <c r="CI703" s="72"/>
      <c r="CJ703" s="72"/>
      <c r="CK703" s="72"/>
      <c r="CL703" s="72"/>
      <c r="CM703" s="72"/>
      <c r="CN703" s="72"/>
      <c r="CO703" s="72"/>
      <c r="CP703" s="72"/>
      <c r="CQ703" s="72"/>
    </row>
    <row r="704" spans="1:95" ht="13.2">
      <c r="A704" s="327"/>
      <c r="B704" s="1775" t="s">
        <v>490</v>
      </c>
      <c r="C704" s="1776"/>
      <c r="D704" s="1776"/>
      <c r="E704" s="1776"/>
      <c r="F704" s="1777"/>
      <c r="G704" s="1793">
        <v>15</v>
      </c>
      <c r="H704" s="1794"/>
      <c r="I704" s="1794"/>
      <c r="J704" s="1795"/>
      <c r="K704" s="1764">
        <v>420</v>
      </c>
      <c r="L704" s="1765"/>
      <c r="M704" s="1765"/>
      <c r="N704" s="1766"/>
      <c r="O704" s="1767">
        <v>367</v>
      </c>
      <c r="P704" s="1768"/>
      <c r="Q704" s="1768"/>
      <c r="R704" s="1768"/>
      <c r="S704" s="1769"/>
      <c r="T704" s="1770">
        <f t="shared" ref="T704:T728" si="26">G704*O704</f>
        <v>5505</v>
      </c>
      <c r="U704" s="1771"/>
      <c r="V704" s="1771"/>
      <c r="W704" s="1771"/>
      <c r="X704" s="1772"/>
      <c r="Y704" s="1767">
        <v>0</v>
      </c>
      <c r="Z704" s="1768"/>
      <c r="AA704" s="1768"/>
      <c r="AB704" s="1769"/>
      <c r="AC704" s="1770">
        <f t="shared" ref="AC704:AC728" si="27">O704+Y704</f>
        <v>367</v>
      </c>
      <c r="AD704" s="1771"/>
      <c r="AE704" s="1771"/>
      <c r="AF704" s="1771"/>
      <c r="AG704" s="1772"/>
      <c r="AH704" s="1782">
        <v>0.3</v>
      </c>
      <c r="AI704" s="1783"/>
      <c r="AJ704" s="1783"/>
      <c r="AK704" s="1783"/>
      <c r="AL704" s="1784"/>
      <c r="AM704" s="1779">
        <f>IF($AH704&gt;0,($AC704/$BA687), " ")</f>
        <v>0.29983660130718953</v>
      </c>
      <c r="AN704" s="1780"/>
      <c r="AO704" s="1781"/>
      <c r="BA704" s="75" t="str">
        <f t="shared" si="22"/>
        <v>N/A</v>
      </c>
      <c r="BB704" s="72"/>
      <c r="BC704" s="72"/>
      <c r="BD704" s="72"/>
      <c r="BE704" s="72"/>
      <c r="BF704" s="72"/>
      <c r="BG704" s="704">
        <f t="shared" si="23"/>
        <v>0</v>
      </c>
      <c r="BH704" s="716">
        <f t="shared" si="24"/>
        <v>0</v>
      </c>
      <c r="BI704" s="718" t="str">
        <f t="shared" si="25"/>
        <v xml:space="preserve"> </v>
      </c>
      <c r="BJ704" s="72"/>
      <c r="BK704" s="72"/>
      <c r="BL704" s="72"/>
      <c r="BM704" s="72"/>
      <c r="BN704" s="72"/>
      <c r="BO704" s="72"/>
      <c r="BP704" s="908" t="s">
        <v>447</v>
      </c>
      <c r="BQ704" s="907">
        <v>1236</v>
      </c>
      <c r="BR704" s="907">
        <v>1326</v>
      </c>
      <c r="BS704" s="907">
        <v>1592</v>
      </c>
      <c r="BT704" s="907">
        <v>1838</v>
      </c>
      <c r="BU704" s="907">
        <v>2052</v>
      </c>
      <c r="BV704" s="907">
        <v>2262</v>
      </c>
      <c r="BX704" s="72"/>
      <c r="BY704" s="72"/>
      <c r="BZ704" s="72"/>
      <c r="CA704" s="72"/>
      <c r="CB704" s="72"/>
      <c r="CC704" s="72"/>
      <c r="CD704" s="72"/>
      <c r="CE704" s="72"/>
      <c r="CF704" s="72"/>
      <c r="CG704" s="72"/>
      <c r="CH704" s="72"/>
      <c r="CI704" s="72"/>
      <c r="CJ704" s="72"/>
      <c r="CK704" s="72"/>
      <c r="CL704" s="72"/>
      <c r="CM704" s="72"/>
      <c r="CN704" s="72"/>
      <c r="CO704" s="72"/>
      <c r="CP704" s="72"/>
      <c r="CQ704" s="72"/>
    </row>
    <row r="705" spans="1:97" ht="13.2">
      <c r="A705" s="327"/>
      <c r="B705" s="1775" t="s">
        <v>491</v>
      </c>
      <c r="C705" s="1776"/>
      <c r="D705" s="1776"/>
      <c r="E705" s="1776"/>
      <c r="F705" s="1777"/>
      <c r="G705" s="1793">
        <v>5</v>
      </c>
      <c r="H705" s="1794"/>
      <c r="I705" s="1794"/>
      <c r="J705" s="1795"/>
      <c r="K705" s="1764">
        <v>475</v>
      </c>
      <c r="L705" s="1765"/>
      <c r="M705" s="1765"/>
      <c r="N705" s="1766"/>
      <c r="O705" s="1767">
        <v>393</v>
      </c>
      <c r="P705" s="1768"/>
      <c r="Q705" s="1768"/>
      <c r="R705" s="1768"/>
      <c r="S705" s="1769"/>
      <c r="T705" s="1770">
        <f t="shared" si="26"/>
        <v>1965</v>
      </c>
      <c r="U705" s="1771"/>
      <c r="V705" s="1771"/>
      <c r="W705" s="1771"/>
      <c r="X705" s="1772"/>
      <c r="Y705" s="1767">
        <v>0</v>
      </c>
      <c r="Z705" s="1768"/>
      <c r="AA705" s="1768"/>
      <c r="AB705" s="1769"/>
      <c r="AC705" s="1770">
        <f t="shared" si="27"/>
        <v>393</v>
      </c>
      <c r="AD705" s="1771"/>
      <c r="AE705" s="1771"/>
      <c r="AF705" s="1771"/>
      <c r="AG705" s="1772"/>
      <c r="AH705" s="1782">
        <v>0.3</v>
      </c>
      <c r="AI705" s="1783"/>
      <c r="AJ705" s="1783"/>
      <c r="AK705" s="1783"/>
      <c r="AL705" s="1784"/>
      <c r="AM705" s="1779">
        <f t="shared" ref="AM705:AM728" si="28">IF($AH705&gt;0,($AC705/$BA688), " ")</f>
        <v>0.29954268292682928</v>
      </c>
      <c r="AN705" s="1780"/>
      <c r="AO705" s="1781"/>
      <c r="BA705" s="75" t="str">
        <f t="shared" si="22"/>
        <v>N/A</v>
      </c>
      <c r="BB705" s="72"/>
      <c r="BC705" s="72"/>
      <c r="BD705" s="72"/>
      <c r="BE705" s="72"/>
      <c r="BF705" s="72"/>
      <c r="BG705" s="704">
        <f t="shared" si="23"/>
        <v>0</v>
      </c>
      <c r="BH705" s="716">
        <f t="shared" si="24"/>
        <v>0</v>
      </c>
      <c r="BI705" s="718" t="str">
        <f t="shared" si="25"/>
        <v xml:space="preserve"> </v>
      </c>
      <c r="BJ705" s="72"/>
      <c r="BK705" s="72"/>
      <c r="BL705" s="72"/>
      <c r="BM705" s="72"/>
      <c r="BN705" s="72"/>
      <c r="BO705" s="72"/>
      <c r="BP705" s="908" t="s">
        <v>448</v>
      </c>
      <c r="BQ705" s="907">
        <v>1972</v>
      </c>
      <c r="BR705" s="907">
        <v>2112</v>
      </c>
      <c r="BS705" s="907">
        <v>2534</v>
      </c>
      <c r="BT705" s="907">
        <v>2928</v>
      </c>
      <c r="BU705" s="907">
        <v>3266</v>
      </c>
      <c r="BV705" s="907">
        <v>3604</v>
      </c>
      <c r="BX705" s="72"/>
      <c r="BY705" s="72"/>
      <c r="BZ705" s="72"/>
      <c r="CA705" s="72"/>
      <c r="CB705" s="72"/>
      <c r="CC705" s="72"/>
      <c r="CD705" s="72"/>
      <c r="CE705" s="72"/>
      <c r="CF705" s="72"/>
      <c r="CG705" s="72"/>
      <c r="CH705" s="72"/>
      <c r="CI705" s="72"/>
      <c r="CJ705" s="72"/>
      <c r="CK705" s="72"/>
      <c r="CL705" s="72"/>
      <c r="CM705" s="72"/>
      <c r="CN705" s="72"/>
      <c r="CO705" s="72"/>
      <c r="CP705" s="72"/>
      <c r="CQ705" s="72"/>
    </row>
    <row r="706" spans="1:97" ht="13.2">
      <c r="A706" s="327"/>
      <c r="B706" s="1775" t="s">
        <v>491</v>
      </c>
      <c r="C706" s="1776"/>
      <c r="D706" s="1776"/>
      <c r="E706" s="1776"/>
      <c r="F706" s="1777"/>
      <c r="G706" s="1793">
        <v>7</v>
      </c>
      <c r="H706" s="1794"/>
      <c r="I706" s="1794"/>
      <c r="J706" s="1795"/>
      <c r="K706" s="1764">
        <v>475</v>
      </c>
      <c r="L706" s="1765"/>
      <c r="M706" s="1765"/>
      <c r="N706" s="1766"/>
      <c r="O706" s="1767">
        <v>590</v>
      </c>
      <c r="P706" s="1768"/>
      <c r="Q706" s="1768"/>
      <c r="R706" s="1768"/>
      <c r="S706" s="1769"/>
      <c r="T706" s="1770">
        <f t="shared" si="26"/>
        <v>4130</v>
      </c>
      <c r="U706" s="1771"/>
      <c r="V706" s="1771"/>
      <c r="W706" s="1771"/>
      <c r="X706" s="1772"/>
      <c r="Y706" s="1767">
        <v>66</v>
      </c>
      <c r="Z706" s="1768"/>
      <c r="AA706" s="1768"/>
      <c r="AB706" s="1769"/>
      <c r="AC706" s="1770">
        <f t="shared" si="27"/>
        <v>656</v>
      </c>
      <c r="AD706" s="1771"/>
      <c r="AE706" s="1771"/>
      <c r="AF706" s="1771"/>
      <c r="AG706" s="1772"/>
      <c r="AH706" s="1782">
        <v>0.5</v>
      </c>
      <c r="AI706" s="1783"/>
      <c r="AJ706" s="1783"/>
      <c r="AK706" s="1783"/>
      <c r="AL706" s="1784"/>
      <c r="AM706" s="1779">
        <f t="shared" si="28"/>
        <v>0.5</v>
      </c>
      <c r="AN706" s="1780"/>
      <c r="AO706" s="1781"/>
      <c r="BA706" s="75" t="str">
        <f t="shared" si="22"/>
        <v>N/A</v>
      </c>
      <c r="BB706" s="72"/>
      <c r="BC706" s="72"/>
      <c r="BD706" s="72"/>
      <c r="BE706" s="72"/>
      <c r="BF706" s="72"/>
      <c r="BG706" s="704">
        <f t="shared" si="23"/>
        <v>0</v>
      </c>
      <c r="BH706" s="716">
        <f t="shared" si="24"/>
        <v>0</v>
      </c>
      <c r="BI706" s="718" t="str">
        <f t="shared" si="25"/>
        <v xml:space="preserve"> </v>
      </c>
      <c r="BJ706" s="72"/>
      <c r="BK706" s="72"/>
      <c r="BL706" s="72"/>
      <c r="BM706" s="72"/>
      <c r="BN706" s="72"/>
      <c r="BO706" s="72"/>
      <c r="BP706" s="908" t="s">
        <v>449</v>
      </c>
      <c r="BQ706" s="907">
        <v>1224</v>
      </c>
      <c r="BR706" s="907">
        <v>1312</v>
      </c>
      <c r="BS706" s="907">
        <v>1574</v>
      </c>
      <c r="BT706" s="907">
        <v>1816</v>
      </c>
      <c r="BU706" s="907">
        <v>2026</v>
      </c>
      <c r="BV706" s="907">
        <v>2236</v>
      </c>
      <c r="BX706" s="72"/>
      <c r="BY706" s="72"/>
      <c r="BZ706" s="72"/>
      <c r="CA706" s="72"/>
      <c r="CB706" s="72"/>
      <c r="CC706" s="72"/>
      <c r="CD706" s="72"/>
      <c r="CE706" s="72"/>
      <c r="CF706" s="72"/>
      <c r="CG706" s="72"/>
      <c r="CH706" s="72"/>
      <c r="CI706" s="72"/>
      <c r="CJ706" s="72"/>
      <c r="CK706" s="72"/>
      <c r="CL706" s="72"/>
      <c r="CM706" s="72"/>
      <c r="CN706" s="72"/>
      <c r="CO706" s="72"/>
      <c r="CP706" s="72"/>
      <c r="CQ706" s="72"/>
    </row>
    <row r="707" spans="1:97" ht="13.2">
      <c r="A707" s="1396"/>
      <c r="B707" s="1775" t="s">
        <v>853</v>
      </c>
      <c r="C707" s="1776"/>
      <c r="D707" s="1776"/>
      <c r="E707" s="1776"/>
      <c r="F707" s="1777"/>
      <c r="G707" s="1793">
        <v>1</v>
      </c>
      <c r="H707" s="1794"/>
      <c r="I707" s="1794"/>
      <c r="J707" s="1795"/>
      <c r="K707" s="1764">
        <v>769</v>
      </c>
      <c r="L707" s="1765"/>
      <c r="M707" s="1765"/>
      <c r="N707" s="1766"/>
      <c r="O707" s="1767">
        <v>382</v>
      </c>
      <c r="P707" s="1768"/>
      <c r="Q707" s="1768"/>
      <c r="R707" s="1768"/>
      <c r="S707" s="1769"/>
      <c r="T707" s="1770">
        <f t="shared" si="26"/>
        <v>382</v>
      </c>
      <c r="U707" s="1771"/>
      <c r="V707" s="1771"/>
      <c r="W707" s="1771"/>
      <c r="X707" s="1772"/>
      <c r="Y707" s="1767">
        <v>90</v>
      </c>
      <c r="Z707" s="1768"/>
      <c r="AA707" s="1768"/>
      <c r="AB707" s="1769"/>
      <c r="AC707" s="1770">
        <f t="shared" si="27"/>
        <v>472</v>
      </c>
      <c r="AD707" s="1771"/>
      <c r="AE707" s="1771"/>
      <c r="AF707" s="1771"/>
      <c r="AG707" s="1772"/>
      <c r="AH707" s="1782">
        <v>0.3</v>
      </c>
      <c r="AI707" s="1783"/>
      <c r="AJ707" s="1783"/>
      <c r="AK707" s="1783"/>
      <c r="AL707" s="1784"/>
      <c r="AM707" s="1779">
        <f t="shared" si="28"/>
        <v>0.29987293519695046</v>
      </c>
      <c r="AN707" s="1780"/>
      <c r="AO707" s="1781"/>
      <c r="BA707" s="75" t="str">
        <f t="shared" si="22"/>
        <v>N/A</v>
      </c>
      <c r="BB707" s="72"/>
      <c r="BC707" s="72"/>
      <c r="BD707" s="72"/>
      <c r="BE707" s="72"/>
      <c r="BF707" s="72"/>
      <c r="BG707" s="704">
        <f t="shared" si="23"/>
        <v>0</v>
      </c>
      <c r="BH707" s="716">
        <f t="shared" si="24"/>
        <v>0</v>
      </c>
      <c r="BI707" s="718" t="str">
        <f t="shared" si="25"/>
        <v xml:space="preserve"> </v>
      </c>
      <c r="BJ707" s="72"/>
      <c r="BK707" s="72"/>
      <c r="BL707" s="72"/>
      <c r="BM707" s="72"/>
      <c r="BN707" s="72"/>
      <c r="BO707" s="72"/>
      <c r="BP707" s="908" t="s">
        <v>450</v>
      </c>
      <c r="BQ707" s="907">
        <v>3044</v>
      </c>
      <c r="BR707" s="907">
        <v>3262</v>
      </c>
      <c r="BS707" s="907">
        <v>3914</v>
      </c>
      <c r="BT707" s="907">
        <v>4524</v>
      </c>
      <c r="BU707" s="907">
        <v>5046</v>
      </c>
      <c r="BV707" s="907">
        <v>5568</v>
      </c>
      <c r="BX707" s="72"/>
      <c r="BY707" s="72"/>
      <c r="BZ707" s="72"/>
      <c r="CA707" s="72"/>
      <c r="CB707" s="72"/>
      <c r="CC707" s="72"/>
      <c r="CD707" s="72"/>
      <c r="CE707" s="72"/>
      <c r="CF707" s="72"/>
      <c r="CG707" s="72"/>
      <c r="CH707" s="72"/>
      <c r="CI707" s="72"/>
      <c r="CJ707" s="72"/>
      <c r="CK707" s="72"/>
      <c r="CL707" s="72"/>
      <c r="CM707" s="72"/>
      <c r="CN707" s="72"/>
      <c r="CO707" s="72"/>
      <c r="CP707" s="72"/>
      <c r="CQ707" s="72"/>
    </row>
    <row r="708" spans="1:97" ht="13.2">
      <c r="A708" s="1396"/>
      <c r="B708" s="1775" t="s">
        <v>853</v>
      </c>
      <c r="C708" s="1776"/>
      <c r="D708" s="1776"/>
      <c r="E708" s="1776"/>
      <c r="F708" s="1777"/>
      <c r="G708" s="1793">
        <v>2</v>
      </c>
      <c r="H708" s="1794"/>
      <c r="I708" s="1794"/>
      <c r="J708" s="1795"/>
      <c r="K708" s="1764">
        <v>769</v>
      </c>
      <c r="L708" s="1765"/>
      <c r="M708" s="1765"/>
      <c r="N708" s="1766"/>
      <c r="O708" s="1767">
        <v>540</v>
      </c>
      <c r="P708" s="1768"/>
      <c r="Q708" s="1768"/>
      <c r="R708" s="1768"/>
      <c r="S708" s="1769"/>
      <c r="T708" s="1770">
        <f t="shared" si="26"/>
        <v>1080</v>
      </c>
      <c r="U708" s="1771"/>
      <c r="V708" s="1771"/>
      <c r="W708" s="1771"/>
      <c r="X708" s="1772"/>
      <c r="Y708" s="1767">
        <v>90</v>
      </c>
      <c r="Z708" s="1768"/>
      <c r="AA708" s="1768"/>
      <c r="AB708" s="1769"/>
      <c r="AC708" s="1770">
        <f t="shared" si="27"/>
        <v>630</v>
      </c>
      <c r="AD708" s="1771"/>
      <c r="AE708" s="1771"/>
      <c r="AF708" s="1771"/>
      <c r="AG708" s="1772"/>
      <c r="AH708" s="1782">
        <v>0.4</v>
      </c>
      <c r="AI708" s="1783"/>
      <c r="AJ708" s="1783"/>
      <c r="AK708" s="1783"/>
      <c r="AL708" s="1784"/>
      <c r="AM708" s="1779">
        <f t="shared" si="28"/>
        <v>0.40025412960609913</v>
      </c>
      <c r="AN708" s="1780"/>
      <c r="AO708" s="1781"/>
      <c r="BA708" s="75" t="str">
        <f t="shared" si="22"/>
        <v>N/A</v>
      </c>
      <c r="BB708" s="72"/>
      <c r="BC708" s="72"/>
      <c r="BD708" s="72"/>
      <c r="BE708" s="72"/>
      <c r="BF708" s="72"/>
      <c r="BG708" s="704">
        <f t="shared" si="23"/>
        <v>0</v>
      </c>
      <c r="BH708" s="716">
        <f t="shared" si="24"/>
        <v>0</v>
      </c>
      <c r="BI708" s="718" t="str">
        <f t="shared" si="25"/>
        <v xml:space="preserve"> </v>
      </c>
      <c r="BJ708" s="72"/>
      <c r="BK708" s="72"/>
      <c r="BL708" s="72"/>
      <c r="BM708" s="72"/>
      <c r="BN708" s="72"/>
      <c r="BO708" s="72"/>
      <c r="BP708" s="908" t="s">
        <v>451</v>
      </c>
      <c r="BQ708" s="907">
        <v>1224</v>
      </c>
      <c r="BR708" s="907">
        <v>1312</v>
      </c>
      <c r="BS708" s="907">
        <v>1574</v>
      </c>
      <c r="BT708" s="907">
        <v>1816</v>
      </c>
      <c r="BU708" s="907">
        <v>2026</v>
      </c>
      <c r="BV708" s="907">
        <v>2236</v>
      </c>
      <c r="BX708" s="72"/>
      <c r="BY708" s="72"/>
      <c r="BZ708" s="72"/>
      <c r="CA708" s="72"/>
      <c r="CB708" s="72"/>
      <c r="CC708" s="72"/>
      <c r="CD708" s="72"/>
      <c r="CE708" s="72"/>
      <c r="CF708" s="72"/>
      <c r="CG708" s="72"/>
      <c r="CH708" s="72"/>
      <c r="CI708" s="72"/>
      <c r="CJ708" s="72"/>
      <c r="CK708" s="72"/>
      <c r="CL708" s="72"/>
      <c r="CM708" s="72"/>
      <c r="CN708" s="72"/>
      <c r="CO708" s="72"/>
      <c r="CP708" s="72"/>
      <c r="CQ708" s="72"/>
    </row>
    <row r="709" spans="1:97" ht="13.2">
      <c r="A709" s="1396"/>
      <c r="B709" s="1775" t="s">
        <v>853</v>
      </c>
      <c r="C709" s="1776"/>
      <c r="D709" s="1776"/>
      <c r="E709" s="1776"/>
      <c r="F709" s="1777"/>
      <c r="G709" s="1793">
        <v>3</v>
      </c>
      <c r="H709" s="1794"/>
      <c r="I709" s="1794"/>
      <c r="J709" s="1795"/>
      <c r="K709" s="1764">
        <v>769</v>
      </c>
      <c r="L709" s="1765"/>
      <c r="M709" s="1765"/>
      <c r="N709" s="1766"/>
      <c r="O709" s="1767">
        <v>697</v>
      </c>
      <c r="P709" s="1768"/>
      <c r="Q709" s="1768"/>
      <c r="R709" s="1768"/>
      <c r="S709" s="1769"/>
      <c r="T709" s="1770">
        <f t="shared" si="26"/>
        <v>2091</v>
      </c>
      <c r="U709" s="1771"/>
      <c r="V709" s="1771"/>
      <c r="W709" s="1771"/>
      <c r="X709" s="1772"/>
      <c r="Y709" s="1767">
        <v>90</v>
      </c>
      <c r="Z709" s="1768"/>
      <c r="AA709" s="1768"/>
      <c r="AB709" s="1769"/>
      <c r="AC709" s="1770">
        <f t="shared" si="27"/>
        <v>787</v>
      </c>
      <c r="AD709" s="1771"/>
      <c r="AE709" s="1771"/>
      <c r="AF709" s="1771"/>
      <c r="AG709" s="1772"/>
      <c r="AH709" s="1782">
        <v>0.5</v>
      </c>
      <c r="AI709" s="1783"/>
      <c r="AJ709" s="1783"/>
      <c r="AK709" s="1783"/>
      <c r="AL709" s="1784"/>
      <c r="AM709" s="1779">
        <f t="shared" si="28"/>
        <v>0.5</v>
      </c>
      <c r="AN709" s="1780"/>
      <c r="AO709" s="1781"/>
      <c r="BA709" s="75" t="str">
        <f t="shared" si="22"/>
        <v>N/A</v>
      </c>
      <c r="BB709" s="72"/>
      <c r="BC709" s="72"/>
      <c r="BD709" s="72"/>
      <c r="BE709" s="72"/>
      <c r="BF709" s="72"/>
      <c r="BG709" s="704">
        <f t="shared" si="23"/>
        <v>0</v>
      </c>
      <c r="BH709" s="716">
        <f t="shared" si="24"/>
        <v>0</v>
      </c>
      <c r="BI709" s="718" t="str">
        <f t="shared" si="25"/>
        <v xml:space="preserve"> </v>
      </c>
      <c r="BJ709" s="72"/>
      <c r="BK709" s="72"/>
      <c r="BL709" s="72"/>
      <c r="BM709" s="72"/>
      <c r="BN709" s="72"/>
      <c r="BO709" s="72"/>
      <c r="BP709" s="908" t="s">
        <v>452</v>
      </c>
      <c r="BQ709" s="907">
        <v>1224</v>
      </c>
      <c r="BR709" s="907">
        <v>1312</v>
      </c>
      <c r="BS709" s="907">
        <v>1574</v>
      </c>
      <c r="BT709" s="907">
        <v>1816</v>
      </c>
      <c r="BU709" s="907">
        <v>2026</v>
      </c>
      <c r="BV709" s="907">
        <v>2236</v>
      </c>
      <c r="BX709" s="72"/>
      <c r="BY709" s="72"/>
      <c r="BZ709" s="72"/>
      <c r="CA709" s="72"/>
      <c r="CB709" s="72"/>
      <c r="CC709" s="72"/>
      <c r="CD709" s="72"/>
      <c r="CE709" s="72"/>
      <c r="CF709" s="72"/>
      <c r="CG709" s="72"/>
      <c r="CH709" s="72"/>
      <c r="CI709" s="72"/>
      <c r="CJ709" s="72"/>
      <c r="CK709" s="72"/>
      <c r="CL709" s="72"/>
      <c r="CM709" s="72"/>
      <c r="CN709" s="72"/>
      <c r="CO709" s="72"/>
      <c r="CP709" s="72"/>
      <c r="CQ709" s="72"/>
    </row>
    <row r="710" spans="1:97" ht="13.2">
      <c r="A710" s="1396"/>
      <c r="B710" s="1775" t="s">
        <v>853</v>
      </c>
      <c r="C710" s="1776"/>
      <c r="D710" s="1776"/>
      <c r="E710" s="1776"/>
      <c r="F710" s="1777"/>
      <c r="G710" s="1793">
        <v>2</v>
      </c>
      <c r="H710" s="1794"/>
      <c r="I710" s="1794"/>
      <c r="J710" s="1795"/>
      <c r="K710" s="1764">
        <v>769</v>
      </c>
      <c r="L710" s="1765"/>
      <c r="M710" s="1765"/>
      <c r="N710" s="1766"/>
      <c r="O710" s="1767">
        <v>780</v>
      </c>
      <c r="P710" s="1768"/>
      <c r="Q710" s="1768"/>
      <c r="R710" s="1768"/>
      <c r="S710" s="1769"/>
      <c r="T710" s="1770">
        <f t="shared" si="26"/>
        <v>1560</v>
      </c>
      <c r="U710" s="1771"/>
      <c r="V710" s="1771"/>
      <c r="W710" s="1771"/>
      <c r="X710" s="1772"/>
      <c r="Y710" s="1767">
        <v>90</v>
      </c>
      <c r="Z710" s="1768"/>
      <c r="AA710" s="1768"/>
      <c r="AB710" s="1769"/>
      <c r="AC710" s="1770">
        <f t="shared" si="27"/>
        <v>870</v>
      </c>
      <c r="AD710" s="1771"/>
      <c r="AE710" s="1771"/>
      <c r="AF710" s="1771"/>
      <c r="AG710" s="1772"/>
      <c r="AH710" s="1782">
        <v>0.6</v>
      </c>
      <c r="AI710" s="1783"/>
      <c r="AJ710" s="1783"/>
      <c r="AK710" s="1783"/>
      <c r="AL710" s="1784"/>
      <c r="AM710" s="1779">
        <f t="shared" si="28"/>
        <v>0.55273189326556549</v>
      </c>
      <c r="AN710" s="1780"/>
      <c r="AO710" s="1781"/>
      <c r="BA710" s="75" t="str">
        <f t="shared" si="22"/>
        <v>N/A</v>
      </c>
      <c r="BB710" s="72"/>
      <c r="BC710" s="72"/>
      <c r="BD710" s="72"/>
      <c r="BE710" s="72"/>
      <c r="BF710" s="72"/>
      <c r="BG710" s="704">
        <f t="shared" si="23"/>
        <v>0</v>
      </c>
      <c r="BH710" s="716">
        <f t="shared" si="24"/>
        <v>0</v>
      </c>
      <c r="BI710" s="718" t="str">
        <f t="shared" si="25"/>
        <v xml:space="preserve"> </v>
      </c>
      <c r="BJ710" s="72"/>
      <c r="BK710" s="72"/>
      <c r="BL710" s="72"/>
      <c r="BM710" s="72"/>
      <c r="BN710" s="72"/>
      <c r="BO710" s="72"/>
      <c r="BP710" s="908" t="s">
        <v>453</v>
      </c>
      <c r="BQ710" s="907">
        <v>1224</v>
      </c>
      <c r="BR710" s="907">
        <v>1312</v>
      </c>
      <c r="BS710" s="907">
        <v>1574</v>
      </c>
      <c r="BT710" s="907">
        <v>1816</v>
      </c>
      <c r="BU710" s="907">
        <v>2026</v>
      </c>
      <c r="BV710" s="907">
        <v>2236</v>
      </c>
      <c r="BX710" s="72"/>
      <c r="BY710" s="72"/>
      <c r="BZ710" s="72"/>
      <c r="CA710" s="72"/>
      <c r="CB710" s="72"/>
      <c r="CC710" s="72"/>
      <c r="CD710" s="72"/>
      <c r="CE710" s="72"/>
      <c r="CF710" s="72"/>
      <c r="CG710" s="72"/>
      <c r="CH710" s="72"/>
      <c r="CI710" s="72"/>
      <c r="CJ710" s="72"/>
      <c r="CK710" s="72"/>
      <c r="CL710" s="72"/>
      <c r="CM710" s="72"/>
      <c r="CN710" s="72"/>
      <c r="CO710" s="72"/>
      <c r="CP710" s="72"/>
    </row>
    <row r="711" spans="1:97" ht="13.2">
      <c r="A711" s="1396"/>
      <c r="B711" s="1775" t="s">
        <v>854</v>
      </c>
      <c r="C711" s="1776"/>
      <c r="D711" s="1776"/>
      <c r="E711" s="1776"/>
      <c r="F711" s="1777"/>
      <c r="G711" s="1793">
        <v>1</v>
      </c>
      <c r="H711" s="1794"/>
      <c r="I711" s="1794"/>
      <c r="J711" s="1795"/>
      <c r="K711" s="1764">
        <v>1066</v>
      </c>
      <c r="L711" s="1765"/>
      <c r="M711" s="1765"/>
      <c r="N711" s="1766"/>
      <c r="O711" s="1767">
        <v>430</v>
      </c>
      <c r="P711" s="1768"/>
      <c r="Q711" s="1768"/>
      <c r="R711" s="1768"/>
      <c r="S711" s="1769"/>
      <c r="T711" s="1770">
        <f t="shared" si="26"/>
        <v>430</v>
      </c>
      <c r="U711" s="1771"/>
      <c r="V711" s="1771"/>
      <c r="W711" s="1771"/>
      <c r="X711" s="1772"/>
      <c r="Y711" s="1767">
        <v>115</v>
      </c>
      <c r="Z711" s="1768"/>
      <c r="AA711" s="1768"/>
      <c r="AB711" s="1769"/>
      <c r="AC711" s="1770">
        <f t="shared" si="27"/>
        <v>545</v>
      </c>
      <c r="AD711" s="1771"/>
      <c r="AE711" s="1771"/>
      <c r="AF711" s="1771"/>
      <c r="AG711" s="1772"/>
      <c r="AH711" s="1782">
        <v>0.3</v>
      </c>
      <c r="AI711" s="1783"/>
      <c r="AJ711" s="1783"/>
      <c r="AK711" s="1783"/>
      <c r="AL711" s="1784"/>
      <c r="AM711" s="1779">
        <f t="shared" si="28"/>
        <v>0.30011013215859028</v>
      </c>
      <c r="AN711" s="1780"/>
      <c r="AO711" s="1781"/>
      <c r="BA711" s="75" t="str">
        <f t="shared" si="22"/>
        <v>N/A</v>
      </c>
      <c r="BB711" s="72"/>
      <c r="BC711" s="72"/>
      <c r="BD711" s="72"/>
      <c r="BE711" s="72"/>
      <c r="BF711" s="72"/>
      <c r="BG711" s="704">
        <f t="shared" si="23"/>
        <v>0</v>
      </c>
      <c r="BH711" s="716">
        <f t="shared" si="24"/>
        <v>0</v>
      </c>
      <c r="BI711" s="718" t="str">
        <f t="shared" si="25"/>
        <v xml:space="preserve"> </v>
      </c>
      <c r="BJ711" s="72"/>
      <c r="BK711" s="72"/>
      <c r="BL711" s="72"/>
      <c r="BM711" s="72"/>
      <c r="BN711" s="72"/>
      <c r="BO711" s="72"/>
      <c r="BP711" s="908" t="s">
        <v>454</v>
      </c>
      <c r="BQ711" s="907">
        <v>1224</v>
      </c>
      <c r="BR711" s="907">
        <v>1312</v>
      </c>
      <c r="BS711" s="907">
        <v>1574</v>
      </c>
      <c r="BT711" s="907">
        <v>1816</v>
      </c>
      <c r="BU711" s="907">
        <v>2026</v>
      </c>
      <c r="BV711" s="907">
        <v>2236</v>
      </c>
      <c r="BX711" s="72"/>
      <c r="BY711" s="72"/>
      <c r="BZ711" s="72"/>
      <c r="CA711" s="72"/>
      <c r="CB711" s="72"/>
      <c r="CC711" s="72"/>
      <c r="CD711" s="72"/>
      <c r="CE711" s="72"/>
      <c r="CF711" s="72"/>
      <c r="CG711" s="72"/>
      <c r="CH711" s="72"/>
      <c r="CI711" s="72"/>
      <c r="CJ711" s="72"/>
      <c r="CK711" s="72"/>
      <c r="CL711" s="72"/>
      <c r="CM711" s="72"/>
      <c r="CN711" s="72"/>
      <c r="CO711" s="72"/>
      <c r="CP711" s="72"/>
    </row>
    <row r="712" spans="1:97" ht="13.2">
      <c r="A712" s="1396"/>
      <c r="B712" s="1775" t="s">
        <v>854</v>
      </c>
      <c r="C712" s="1776"/>
      <c r="D712" s="1776"/>
      <c r="E712" s="1776"/>
      <c r="F712" s="1777"/>
      <c r="G712" s="1793">
        <v>2</v>
      </c>
      <c r="H712" s="1794"/>
      <c r="I712" s="1794"/>
      <c r="J712" s="1795"/>
      <c r="K712" s="1764">
        <v>1066</v>
      </c>
      <c r="L712" s="1765"/>
      <c r="M712" s="1765"/>
      <c r="N712" s="1766"/>
      <c r="O712" s="1767">
        <v>612</v>
      </c>
      <c r="P712" s="1768"/>
      <c r="Q712" s="1768"/>
      <c r="R712" s="1768"/>
      <c r="S712" s="1769"/>
      <c r="T712" s="1770">
        <f t="shared" si="26"/>
        <v>1224</v>
      </c>
      <c r="U712" s="1771"/>
      <c r="V712" s="1771"/>
      <c r="W712" s="1771"/>
      <c r="X712" s="1772"/>
      <c r="Y712" s="1767">
        <v>115</v>
      </c>
      <c r="Z712" s="1768"/>
      <c r="AA712" s="1768"/>
      <c r="AB712" s="1769"/>
      <c r="AC712" s="1770">
        <f t="shared" si="27"/>
        <v>727</v>
      </c>
      <c r="AD712" s="1771"/>
      <c r="AE712" s="1771"/>
      <c r="AF712" s="1771"/>
      <c r="AG712" s="1772"/>
      <c r="AH712" s="1782">
        <v>0.4</v>
      </c>
      <c r="AI712" s="1783"/>
      <c r="AJ712" s="1783"/>
      <c r="AK712" s="1783"/>
      <c r="AL712" s="1784"/>
      <c r="AM712" s="1779">
        <f t="shared" si="28"/>
        <v>0.4003303964757709</v>
      </c>
      <c r="AN712" s="1780"/>
      <c r="AO712" s="1781"/>
      <c r="BA712" s="72"/>
      <c r="BB712" s="72"/>
      <c r="BC712" s="72"/>
      <c r="BD712" s="72"/>
      <c r="BE712" s="72"/>
      <c r="BF712" s="72"/>
      <c r="BG712" s="705">
        <f t="shared" si="23"/>
        <v>0</v>
      </c>
      <c r="BH712" s="717">
        <f t="shared" si="24"/>
        <v>0</v>
      </c>
      <c r="BI712" s="718" t="str">
        <f t="shared" si="25"/>
        <v xml:space="preserve"> </v>
      </c>
      <c r="BJ712" s="72"/>
      <c r="BK712" s="72"/>
      <c r="BL712" s="72"/>
      <c r="BM712" s="72"/>
      <c r="BN712" s="72"/>
      <c r="BO712" s="72"/>
      <c r="BP712" s="908" t="s">
        <v>455</v>
      </c>
      <c r="BQ712" s="907">
        <v>1416</v>
      </c>
      <c r="BR712" s="907">
        <v>1518</v>
      </c>
      <c r="BS712" s="907">
        <v>1822</v>
      </c>
      <c r="BT712" s="907">
        <v>2102</v>
      </c>
      <c r="BU712" s="907">
        <v>2346</v>
      </c>
      <c r="BV712" s="907">
        <v>2590</v>
      </c>
      <c r="BX712" s="72"/>
      <c r="BY712" s="72"/>
      <c r="BZ712" s="72"/>
      <c r="CA712" s="72"/>
      <c r="CB712" s="72"/>
      <c r="CC712" s="72"/>
      <c r="CD712" s="72"/>
      <c r="CE712" s="72"/>
      <c r="CF712" s="72"/>
      <c r="CG712" s="72"/>
      <c r="CH712" s="72"/>
      <c r="CI712" s="72"/>
      <c r="CJ712" s="72"/>
      <c r="CK712" s="72"/>
      <c r="CL712" s="72"/>
      <c r="CM712" s="72"/>
      <c r="CN712" s="72"/>
      <c r="CO712" s="72"/>
      <c r="CP712" s="72"/>
    </row>
    <row r="713" spans="1:97" ht="13.2">
      <c r="A713" s="327"/>
      <c r="B713" s="1775" t="s">
        <v>854</v>
      </c>
      <c r="C713" s="1776"/>
      <c r="D713" s="1776"/>
      <c r="E713" s="1776"/>
      <c r="F713" s="1777"/>
      <c r="G713" s="1793">
        <v>2</v>
      </c>
      <c r="H713" s="1794"/>
      <c r="I713" s="1794"/>
      <c r="J713" s="1795"/>
      <c r="K713" s="1764">
        <v>1066</v>
      </c>
      <c r="L713" s="1765"/>
      <c r="M713" s="1765"/>
      <c r="N713" s="1766"/>
      <c r="O713" s="1767">
        <v>975</v>
      </c>
      <c r="P713" s="1768"/>
      <c r="Q713" s="1768"/>
      <c r="R713" s="1768"/>
      <c r="S713" s="1769"/>
      <c r="T713" s="1770">
        <f t="shared" si="26"/>
        <v>1950</v>
      </c>
      <c r="U713" s="1771"/>
      <c r="V713" s="1771"/>
      <c r="W713" s="1771"/>
      <c r="X713" s="1772"/>
      <c r="Y713" s="1767">
        <v>115</v>
      </c>
      <c r="Z713" s="1768"/>
      <c r="AA713" s="1768"/>
      <c r="AB713" s="1769"/>
      <c r="AC713" s="1770">
        <f t="shared" si="27"/>
        <v>1090</v>
      </c>
      <c r="AD713" s="1771"/>
      <c r="AE713" s="1771"/>
      <c r="AF713" s="1771"/>
      <c r="AG713" s="1772"/>
      <c r="AH713" s="1782">
        <v>0.6</v>
      </c>
      <c r="AI713" s="1783"/>
      <c r="AJ713" s="1783"/>
      <c r="AK713" s="1783"/>
      <c r="AL713" s="1784"/>
      <c r="AM713" s="1779">
        <f t="shared" si="28"/>
        <v>0.60022026431718056</v>
      </c>
      <c r="AN713" s="1780"/>
      <c r="AO713" s="1781"/>
      <c r="BA713" s="72"/>
      <c r="BB713" s="72"/>
      <c r="BC713" s="72"/>
      <c r="BD713" s="72"/>
      <c r="BE713" s="149"/>
      <c r="BF713" s="147" t="s">
        <v>974</v>
      </c>
      <c r="BG713" s="719">
        <f>SUM(BG688:BG712)</f>
        <v>40</v>
      </c>
      <c r="BH713" s="720">
        <f>SUM(BH688:BH712)</f>
        <v>1.0000000000000002</v>
      </c>
      <c r="BI713" s="720">
        <f>SUM(BI688:BI712)</f>
        <v>0</v>
      </c>
      <c r="BJ713" s="72"/>
      <c r="BK713" s="72"/>
      <c r="BL713" s="72"/>
      <c r="BM713" s="72"/>
      <c r="BN713" s="72"/>
      <c r="BO713" s="72"/>
      <c r="BP713" s="908" t="s">
        <v>456</v>
      </c>
      <c r="BQ713" s="907">
        <v>1696</v>
      </c>
      <c r="BR713" s="907">
        <v>1818</v>
      </c>
      <c r="BS713" s="907">
        <v>2182</v>
      </c>
      <c r="BT713" s="907">
        <v>2520</v>
      </c>
      <c r="BU713" s="907">
        <v>2812</v>
      </c>
      <c r="BV713" s="907">
        <v>3102</v>
      </c>
      <c r="BX713" s="72"/>
      <c r="BY713" s="72"/>
      <c r="BZ713" s="72"/>
      <c r="CA713" s="72"/>
      <c r="CB713" s="72"/>
      <c r="CC713" s="72"/>
      <c r="CD713" s="72"/>
      <c r="CE713" s="72"/>
      <c r="CF713" s="72"/>
      <c r="CG713" s="72"/>
      <c r="CH713" s="72"/>
      <c r="CI713" s="72"/>
      <c r="CJ713" s="72"/>
      <c r="CK713" s="72"/>
      <c r="CL713" s="72"/>
      <c r="CM713" s="72"/>
      <c r="CN713" s="72"/>
      <c r="CO713" s="72"/>
      <c r="CP713" s="72"/>
      <c r="CQ713" s="72"/>
      <c r="CR713" s="72"/>
    </row>
    <row r="714" spans="1:97" ht="13.2">
      <c r="A714" s="327"/>
      <c r="B714" s="1775"/>
      <c r="C714" s="1776"/>
      <c r="D714" s="1776"/>
      <c r="E714" s="1776"/>
      <c r="F714" s="1777"/>
      <c r="G714" s="1793"/>
      <c r="H714" s="1794"/>
      <c r="I714" s="1794"/>
      <c r="J714" s="1795"/>
      <c r="K714" s="1764"/>
      <c r="L714" s="1765"/>
      <c r="M714" s="1765"/>
      <c r="N714" s="1766"/>
      <c r="O714" s="1767"/>
      <c r="P714" s="1768"/>
      <c r="Q714" s="1768"/>
      <c r="R714" s="1768"/>
      <c r="S714" s="1769"/>
      <c r="T714" s="1770">
        <f t="shared" si="26"/>
        <v>0</v>
      </c>
      <c r="U714" s="1771"/>
      <c r="V714" s="1771"/>
      <c r="W714" s="1771"/>
      <c r="X714" s="1772"/>
      <c r="Y714" s="1767"/>
      <c r="Z714" s="1768"/>
      <c r="AA714" s="1768"/>
      <c r="AB714" s="1769"/>
      <c r="AC714" s="1770">
        <f t="shared" si="27"/>
        <v>0</v>
      </c>
      <c r="AD714" s="1771"/>
      <c r="AE714" s="1771"/>
      <c r="AF714" s="1771"/>
      <c r="AG714" s="1772"/>
      <c r="AH714" s="1782"/>
      <c r="AI714" s="1783"/>
      <c r="AJ714" s="1783"/>
      <c r="AK714" s="1783"/>
      <c r="AL714" s="1784"/>
      <c r="AM714" s="1779" t="str">
        <f t="shared" si="28"/>
        <v xml:space="preserve"> </v>
      </c>
      <c r="AN714" s="1780"/>
      <c r="AO714" s="1781"/>
      <c r="BA714" s="72"/>
      <c r="BB714" s="72"/>
      <c r="BC714" s="72"/>
      <c r="BD714" s="72"/>
      <c r="BE714" s="72"/>
      <c r="BF714" s="72"/>
      <c r="BG714" s="72"/>
      <c r="BH714" s="72"/>
      <c r="BI714" s="72"/>
      <c r="BJ714" s="72"/>
      <c r="BK714" s="72"/>
      <c r="BL714" s="72"/>
      <c r="BM714" s="72"/>
      <c r="BN714" s="72"/>
      <c r="BO714" s="72"/>
      <c r="BP714" s="908" t="s">
        <v>457</v>
      </c>
      <c r="BQ714" s="907">
        <v>1896</v>
      </c>
      <c r="BR714" s="907">
        <v>2032</v>
      </c>
      <c r="BS714" s="907">
        <v>2436</v>
      </c>
      <c r="BT714" s="907">
        <v>2816</v>
      </c>
      <c r="BU714" s="907">
        <v>3142</v>
      </c>
      <c r="BV714" s="907">
        <v>3466</v>
      </c>
      <c r="BX714" s="72"/>
      <c r="BY714" s="72"/>
      <c r="BZ714" s="72"/>
      <c r="CA714" s="72"/>
      <c r="CB714" s="72"/>
      <c r="CC714" s="72"/>
      <c r="CD714" s="72"/>
      <c r="CE714" s="72"/>
      <c r="CF714" s="72"/>
      <c r="CG714" s="72"/>
      <c r="CH714" s="72"/>
      <c r="CI714" s="72"/>
      <c r="CJ714" s="72"/>
      <c r="CK714" s="72"/>
      <c r="CL714" s="72"/>
      <c r="CM714" s="72"/>
      <c r="CN714" s="72"/>
      <c r="CO714" s="72"/>
      <c r="CP714" s="72"/>
      <c r="CQ714" s="72"/>
      <c r="CR714" s="72"/>
    </row>
    <row r="715" spans="1:97" ht="13.2">
      <c r="A715" s="327"/>
      <c r="B715" s="1775"/>
      <c r="C715" s="1776"/>
      <c r="D715" s="1776"/>
      <c r="E715" s="1776"/>
      <c r="F715" s="1777"/>
      <c r="G715" s="1793"/>
      <c r="H715" s="1794"/>
      <c r="I715" s="1794"/>
      <c r="J715" s="1795"/>
      <c r="K715" s="1764"/>
      <c r="L715" s="1765"/>
      <c r="M715" s="1765"/>
      <c r="N715" s="1766"/>
      <c r="O715" s="1767"/>
      <c r="P715" s="1768"/>
      <c r="Q715" s="1768"/>
      <c r="R715" s="1768"/>
      <c r="S715" s="1769"/>
      <c r="T715" s="1770">
        <f t="shared" si="26"/>
        <v>0</v>
      </c>
      <c r="U715" s="1771"/>
      <c r="V715" s="1771"/>
      <c r="W715" s="1771"/>
      <c r="X715" s="1772"/>
      <c r="Y715" s="1767">
        <v>0</v>
      </c>
      <c r="Z715" s="1768"/>
      <c r="AA715" s="1768"/>
      <c r="AB715" s="1769"/>
      <c r="AC715" s="1770">
        <f t="shared" si="27"/>
        <v>0</v>
      </c>
      <c r="AD715" s="1771"/>
      <c r="AE715" s="1771"/>
      <c r="AF715" s="1771"/>
      <c r="AG715" s="1772"/>
      <c r="AH715" s="1782">
        <v>0</v>
      </c>
      <c r="AI715" s="1783"/>
      <c r="AJ715" s="1783"/>
      <c r="AK715" s="1783"/>
      <c r="AL715" s="1784"/>
      <c r="AM715" s="1779" t="str">
        <f t="shared" si="28"/>
        <v xml:space="preserve"> </v>
      </c>
      <c r="AN715" s="1780"/>
      <c r="AO715" s="1781"/>
      <c r="BA715" s="72"/>
      <c r="BB715" s="72"/>
      <c r="BC715" s="72"/>
      <c r="BD715" s="72"/>
      <c r="BE715" s="72"/>
      <c r="BF715" s="72"/>
      <c r="BG715" s="72"/>
      <c r="BH715" s="72"/>
      <c r="BI715" s="72"/>
      <c r="BJ715" s="72"/>
      <c r="BK715" s="72"/>
      <c r="BL715" s="72"/>
      <c r="BM715" s="72"/>
      <c r="BN715" s="72"/>
      <c r="BO715" s="72"/>
      <c r="BP715" s="908" t="s">
        <v>921</v>
      </c>
      <c r="BQ715" s="907">
        <v>1504</v>
      </c>
      <c r="BR715" s="907">
        <v>1612</v>
      </c>
      <c r="BS715" s="907">
        <v>1934</v>
      </c>
      <c r="BT715" s="907">
        <v>2236</v>
      </c>
      <c r="BU715" s="907">
        <v>2494</v>
      </c>
      <c r="BV715" s="907">
        <v>2752</v>
      </c>
      <c r="BX715" s="72"/>
      <c r="BY715" s="72"/>
      <c r="BZ715" s="72"/>
      <c r="CA715" s="72"/>
      <c r="CB715" s="72"/>
      <c r="CC715" s="72"/>
      <c r="CD715" s="72"/>
      <c r="CE715" s="72"/>
      <c r="CF715" s="72"/>
      <c r="CG715" s="72"/>
      <c r="CH715" s="72"/>
      <c r="CI715" s="72"/>
      <c r="CJ715" s="72"/>
      <c r="CK715" s="72"/>
      <c r="CL715" s="72"/>
      <c r="CM715" s="72"/>
      <c r="CN715" s="72"/>
      <c r="CO715" s="72"/>
      <c r="CP715" s="72"/>
      <c r="CQ715" s="72"/>
      <c r="CR715" s="72"/>
    </row>
    <row r="716" spans="1:97" ht="13.2">
      <c r="A716" s="1396"/>
      <c r="B716" s="1775"/>
      <c r="C716" s="1776"/>
      <c r="D716" s="1776"/>
      <c r="E716" s="1776"/>
      <c r="F716" s="1777"/>
      <c r="G716" s="1793"/>
      <c r="H716" s="1794"/>
      <c r="I716" s="1794"/>
      <c r="J716" s="1795"/>
      <c r="K716" s="1764"/>
      <c r="L716" s="1765"/>
      <c r="M716" s="1765"/>
      <c r="N716" s="1766"/>
      <c r="O716" s="1767"/>
      <c r="P716" s="1768"/>
      <c r="Q716" s="1768"/>
      <c r="R716" s="1768"/>
      <c r="S716" s="1769"/>
      <c r="T716" s="1770">
        <f t="shared" si="26"/>
        <v>0</v>
      </c>
      <c r="U716" s="1771"/>
      <c r="V716" s="1771"/>
      <c r="W716" s="1771"/>
      <c r="X716" s="1772"/>
      <c r="Y716" s="1767">
        <v>0</v>
      </c>
      <c r="Z716" s="1768"/>
      <c r="AA716" s="1768"/>
      <c r="AB716" s="1769"/>
      <c r="AC716" s="1770">
        <f t="shared" si="27"/>
        <v>0</v>
      </c>
      <c r="AD716" s="1771"/>
      <c r="AE716" s="1771"/>
      <c r="AF716" s="1771"/>
      <c r="AG716" s="1772"/>
      <c r="AH716" s="1782">
        <v>0</v>
      </c>
      <c r="AI716" s="1783"/>
      <c r="AJ716" s="1783"/>
      <c r="AK716" s="1783"/>
      <c r="AL716" s="1784"/>
      <c r="AM716" s="1779" t="str">
        <f t="shared" si="28"/>
        <v xml:space="preserve"> </v>
      </c>
      <c r="AN716" s="1780"/>
      <c r="AO716" s="1781"/>
      <c r="BA716" s="72"/>
      <c r="BB716" s="72"/>
      <c r="BC716" s="72"/>
      <c r="BD716" s="72"/>
      <c r="BE716" s="72"/>
      <c r="BF716" s="72"/>
      <c r="BG716" s="72"/>
      <c r="BH716" s="72"/>
      <c r="BI716" s="72"/>
      <c r="BJ716" s="72"/>
      <c r="BK716" s="72"/>
      <c r="BL716" s="72"/>
      <c r="BM716" s="72"/>
      <c r="BN716" s="72"/>
      <c r="BO716" s="72"/>
      <c r="BP716" s="908" t="s">
        <v>922</v>
      </c>
      <c r="BQ716" s="907">
        <v>2242</v>
      </c>
      <c r="BR716" s="907">
        <v>2402</v>
      </c>
      <c r="BS716" s="907">
        <v>2882</v>
      </c>
      <c r="BT716" s="907">
        <v>3330</v>
      </c>
      <c r="BU716" s="907">
        <v>3714</v>
      </c>
      <c r="BV716" s="907">
        <v>4100</v>
      </c>
      <c r="BX716" s="72"/>
      <c r="BY716" s="72"/>
      <c r="BZ716" s="72"/>
      <c r="CA716" s="72"/>
      <c r="CB716" s="72"/>
      <c r="CC716" s="72"/>
      <c r="CD716" s="72"/>
      <c r="CE716" s="72"/>
      <c r="CF716" s="72"/>
      <c r="CG716" s="72"/>
      <c r="CH716" s="72"/>
      <c r="CI716" s="72"/>
      <c r="CJ716" s="72"/>
      <c r="CK716" s="72"/>
      <c r="CL716" s="72"/>
      <c r="CM716" s="72"/>
      <c r="CN716" s="72"/>
      <c r="CO716" s="72"/>
      <c r="CP716" s="72"/>
      <c r="CQ716" s="72"/>
      <c r="CR716" s="72"/>
    </row>
    <row r="717" spans="1:97" ht="13.2">
      <c r="A717" s="1396"/>
      <c r="B717" s="1775"/>
      <c r="C717" s="1776"/>
      <c r="D717" s="1776"/>
      <c r="E717" s="1776"/>
      <c r="F717" s="1777"/>
      <c r="G717" s="1793"/>
      <c r="H717" s="1794"/>
      <c r="I717" s="1794"/>
      <c r="J717" s="1795"/>
      <c r="K717" s="1764"/>
      <c r="L717" s="1765"/>
      <c r="M717" s="1765"/>
      <c r="N717" s="1766"/>
      <c r="O717" s="1767"/>
      <c r="P717" s="1768"/>
      <c r="Q717" s="1768"/>
      <c r="R717" s="1768"/>
      <c r="S717" s="1769"/>
      <c r="T717" s="1770">
        <f t="shared" si="26"/>
        <v>0</v>
      </c>
      <c r="U717" s="1771"/>
      <c r="V717" s="1771"/>
      <c r="W717" s="1771"/>
      <c r="X717" s="1772"/>
      <c r="Y717" s="1767">
        <v>0</v>
      </c>
      <c r="Z717" s="1768"/>
      <c r="AA717" s="1768"/>
      <c r="AB717" s="1769"/>
      <c r="AC717" s="1770">
        <f t="shared" si="27"/>
        <v>0</v>
      </c>
      <c r="AD717" s="1771"/>
      <c r="AE717" s="1771"/>
      <c r="AF717" s="1771"/>
      <c r="AG717" s="1772"/>
      <c r="AH717" s="1782">
        <v>0</v>
      </c>
      <c r="AI717" s="1783"/>
      <c r="AJ717" s="1783"/>
      <c r="AK717" s="1783"/>
      <c r="AL717" s="1784"/>
      <c r="AM717" s="1779" t="str">
        <f t="shared" si="28"/>
        <v xml:space="preserve"> </v>
      </c>
      <c r="AN717" s="1780"/>
      <c r="AO717" s="1781"/>
      <c r="BA717" s="72"/>
      <c r="BB717" s="72"/>
      <c r="BC717" s="72"/>
      <c r="BD717" s="72"/>
      <c r="BE717" s="72"/>
      <c r="BF717" s="72"/>
      <c r="BG717" s="1452" t="s">
        <v>2299</v>
      </c>
      <c r="BH717" s="1453"/>
      <c r="BI717" s="1453"/>
      <c r="BJ717" s="72"/>
      <c r="BK717" s="72"/>
      <c r="BL717" s="72"/>
      <c r="BM717" s="72"/>
      <c r="BN717" s="72"/>
      <c r="BO717" s="72"/>
      <c r="BP717" s="908" t="s">
        <v>923</v>
      </c>
      <c r="BQ717" s="907">
        <v>1512</v>
      </c>
      <c r="BR717" s="907">
        <v>1620</v>
      </c>
      <c r="BS717" s="907">
        <v>1942</v>
      </c>
      <c r="BT717" s="907">
        <v>2244</v>
      </c>
      <c r="BU717" s="907">
        <v>2504</v>
      </c>
      <c r="BV717" s="907">
        <v>2762</v>
      </c>
      <c r="BX717" s="72"/>
      <c r="BY717" s="72"/>
      <c r="BZ717" s="72"/>
      <c r="CA717" s="72"/>
      <c r="CB717" s="72"/>
      <c r="CC717" s="72"/>
      <c r="CD717" s="72"/>
      <c r="CE717" s="72"/>
      <c r="CF717" s="72"/>
      <c r="CG717" s="72"/>
      <c r="CH717" s="72"/>
      <c r="CI717" s="72"/>
      <c r="CJ717" s="72"/>
      <c r="CK717" s="72"/>
      <c r="CL717" s="72"/>
      <c r="CM717" s="72"/>
      <c r="CN717" s="72"/>
      <c r="CO717" s="72"/>
      <c r="CP717" s="72"/>
      <c r="CQ717" s="72"/>
      <c r="CR717" s="72"/>
    </row>
    <row r="718" spans="1:97" ht="13.2">
      <c r="A718" s="1396"/>
      <c r="B718" s="1775"/>
      <c r="C718" s="1776"/>
      <c r="D718" s="1776"/>
      <c r="E718" s="1776"/>
      <c r="F718" s="1777"/>
      <c r="G718" s="1793"/>
      <c r="H718" s="1794"/>
      <c r="I718" s="1794"/>
      <c r="J718" s="1795"/>
      <c r="K718" s="1764"/>
      <c r="L718" s="1765"/>
      <c r="M718" s="1765"/>
      <c r="N718" s="1766"/>
      <c r="O718" s="1767"/>
      <c r="P718" s="1768"/>
      <c r="Q718" s="1768"/>
      <c r="R718" s="1768"/>
      <c r="S718" s="1769"/>
      <c r="T718" s="1770">
        <f t="shared" si="26"/>
        <v>0</v>
      </c>
      <c r="U718" s="1771"/>
      <c r="V718" s="1771"/>
      <c r="W718" s="1771"/>
      <c r="X718" s="1772"/>
      <c r="Y718" s="1767">
        <v>0</v>
      </c>
      <c r="Z718" s="1768"/>
      <c r="AA718" s="1768"/>
      <c r="AB718" s="1769"/>
      <c r="AC718" s="1770">
        <f t="shared" si="27"/>
        <v>0</v>
      </c>
      <c r="AD718" s="1771"/>
      <c r="AE718" s="1771"/>
      <c r="AF718" s="1771"/>
      <c r="AG718" s="1772"/>
      <c r="AH718" s="1782">
        <v>0</v>
      </c>
      <c r="AI718" s="1783"/>
      <c r="AJ718" s="1783"/>
      <c r="AK718" s="1783"/>
      <c r="AL718" s="1784"/>
      <c r="AM718" s="1779" t="str">
        <f t="shared" si="28"/>
        <v xml:space="preserve"> </v>
      </c>
      <c r="AN718" s="1780"/>
      <c r="AO718" s="1781"/>
      <c r="BA718" s="72"/>
      <c r="BB718" s="72"/>
      <c r="BC718" s="72"/>
      <c r="BD718" s="72"/>
      <c r="BE718" s="72"/>
      <c r="BF718" s="72"/>
      <c r="BG718" s="1454" t="s">
        <v>1259</v>
      </c>
      <c r="BH718" s="1455" t="s">
        <v>1260</v>
      </c>
      <c r="BI718" s="1456" t="s">
        <v>1261</v>
      </c>
      <c r="BJ718" s="72"/>
      <c r="BK718" s="72"/>
      <c r="BL718" s="72"/>
      <c r="BM718" s="72"/>
      <c r="BN718" s="72"/>
      <c r="BO718" s="72"/>
      <c r="BP718" s="908" t="s">
        <v>924</v>
      </c>
      <c r="BQ718" s="907">
        <v>1264</v>
      </c>
      <c r="BR718" s="907">
        <v>1354</v>
      </c>
      <c r="BS718" s="907">
        <v>1624</v>
      </c>
      <c r="BT718" s="907">
        <v>1876</v>
      </c>
      <c r="BU718" s="907">
        <v>2094</v>
      </c>
      <c r="BV718" s="907">
        <v>2312</v>
      </c>
      <c r="BX718" s="72"/>
      <c r="BY718" s="72"/>
      <c r="BZ718" s="72"/>
      <c r="CA718" s="72"/>
      <c r="CB718" s="72"/>
      <c r="CC718" s="72"/>
      <c r="CD718" s="72"/>
      <c r="CE718" s="72"/>
      <c r="CF718" s="72"/>
      <c r="CG718" s="72"/>
      <c r="CH718" s="72"/>
      <c r="CI718" s="72"/>
      <c r="CJ718" s="72"/>
      <c r="CK718" s="72"/>
      <c r="CL718" s="72"/>
      <c r="CM718" s="72"/>
      <c r="CN718" s="72"/>
      <c r="CO718" s="72"/>
      <c r="CP718" s="72"/>
      <c r="CQ718" s="72"/>
      <c r="CR718" s="72"/>
    </row>
    <row r="719" spans="1:97" ht="13.2">
      <c r="A719" s="1396"/>
      <c r="B719" s="1775"/>
      <c r="C719" s="1776"/>
      <c r="D719" s="1776"/>
      <c r="E719" s="1776"/>
      <c r="F719" s="1777"/>
      <c r="G719" s="1793"/>
      <c r="H719" s="1794"/>
      <c r="I719" s="1794"/>
      <c r="J719" s="1795"/>
      <c r="K719" s="1764"/>
      <c r="L719" s="1765"/>
      <c r="M719" s="1765"/>
      <c r="N719" s="1766"/>
      <c r="O719" s="1767"/>
      <c r="P719" s="1768"/>
      <c r="Q719" s="1768"/>
      <c r="R719" s="1768"/>
      <c r="S719" s="1769"/>
      <c r="T719" s="1770">
        <f t="shared" si="26"/>
        <v>0</v>
      </c>
      <c r="U719" s="1771"/>
      <c r="V719" s="1771"/>
      <c r="W719" s="1771"/>
      <c r="X719" s="1772"/>
      <c r="Y719" s="1767">
        <v>0</v>
      </c>
      <c r="Z719" s="1768"/>
      <c r="AA719" s="1768"/>
      <c r="AB719" s="1769"/>
      <c r="AC719" s="1770">
        <f t="shared" si="27"/>
        <v>0</v>
      </c>
      <c r="AD719" s="1771"/>
      <c r="AE719" s="1771"/>
      <c r="AF719" s="1771"/>
      <c r="AG719" s="1772"/>
      <c r="AH719" s="1782">
        <v>0</v>
      </c>
      <c r="AI719" s="1783"/>
      <c r="AJ719" s="1783"/>
      <c r="AK719" s="1783"/>
      <c r="AL719" s="1784"/>
      <c r="AM719" s="1779" t="str">
        <f t="shared" si="28"/>
        <v xml:space="preserve"> </v>
      </c>
      <c r="AN719" s="1780"/>
      <c r="AO719" s="1781"/>
      <c r="BA719" s="72"/>
      <c r="BB719" s="72"/>
      <c r="BC719" s="72"/>
      <c r="BD719" s="72"/>
      <c r="BE719" s="72"/>
      <c r="BF719" s="72"/>
      <c r="BG719" s="1457">
        <f>G704</f>
        <v>15</v>
      </c>
      <c r="BH719" s="1461">
        <f>BG719/$BG$744</f>
        <v>0.375</v>
      </c>
      <c r="BI719" s="1462">
        <f>IF(BH719=0," ",BH719*AM704)</f>
        <v>0.11243872549019607</v>
      </c>
      <c r="BJ719" s="72"/>
      <c r="BK719" s="72"/>
      <c r="BL719" s="72"/>
      <c r="BM719" s="72"/>
      <c r="BN719" s="72"/>
      <c r="BO719" s="72"/>
      <c r="BP719" s="908" t="s">
        <v>120</v>
      </c>
      <c r="BQ719" s="907">
        <v>1320</v>
      </c>
      <c r="BR719" s="907">
        <v>1412</v>
      </c>
      <c r="BS719" s="907">
        <v>1694</v>
      </c>
      <c r="BT719" s="907">
        <v>1958</v>
      </c>
      <c r="BU719" s="907">
        <v>2184</v>
      </c>
      <c r="BV719" s="907">
        <v>2410</v>
      </c>
      <c r="BX719" s="72"/>
      <c r="BY719" s="72"/>
      <c r="BZ719" s="72"/>
      <c r="CA719" s="72"/>
      <c r="CB719" s="72"/>
      <c r="CC719" s="72"/>
      <c r="CD719" s="72"/>
      <c r="CE719" s="72"/>
      <c r="CF719" s="72"/>
      <c r="CG719" s="72"/>
      <c r="CH719" s="72"/>
      <c r="CI719" s="72"/>
      <c r="CJ719" s="72"/>
      <c r="CK719" s="72"/>
      <c r="CL719" s="72"/>
      <c r="CM719" s="72"/>
      <c r="CN719" s="72"/>
      <c r="CO719" s="72"/>
      <c r="CP719" s="72"/>
      <c r="CQ719" s="72"/>
      <c r="CR719" s="72"/>
      <c r="CS719" s="72"/>
    </row>
    <row r="720" spans="1:97" ht="13.2">
      <c r="A720" s="1396"/>
      <c r="B720" s="1775"/>
      <c r="C720" s="1776"/>
      <c r="D720" s="1776"/>
      <c r="E720" s="1776"/>
      <c r="F720" s="1777"/>
      <c r="G720" s="1793"/>
      <c r="H720" s="1794"/>
      <c r="I720" s="1794"/>
      <c r="J720" s="1795"/>
      <c r="K720" s="1764"/>
      <c r="L720" s="1765"/>
      <c r="M720" s="1765"/>
      <c r="N720" s="1766"/>
      <c r="O720" s="1767"/>
      <c r="P720" s="1768"/>
      <c r="Q720" s="1768"/>
      <c r="R720" s="1768"/>
      <c r="S720" s="1769"/>
      <c r="T720" s="1770">
        <f t="shared" si="26"/>
        <v>0</v>
      </c>
      <c r="U720" s="1771"/>
      <c r="V720" s="1771"/>
      <c r="W720" s="1771"/>
      <c r="X720" s="1772"/>
      <c r="Y720" s="1767">
        <v>0</v>
      </c>
      <c r="Z720" s="1768"/>
      <c r="AA720" s="1768"/>
      <c r="AB720" s="1769"/>
      <c r="AC720" s="1770">
        <f t="shared" si="27"/>
        <v>0</v>
      </c>
      <c r="AD720" s="1771"/>
      <c r="AE720" s="1771"/>
      <c r="AF720" s="1771"/>
      <c r="AG720" s="1772"/>
      <c r="AH720" s="1782">
        <v>0</v>
      </c>
      <c r="AI720" s="1783"/>
      <c r="AJ720" s="1783"/>
      <c r="AK720" s="1783"/>
      <c r="AL720" s="1784"/>
      <c r="AM720" s="1779" t="str">
        <f t="shared" si="28"/>
        <v xml:space="preserve"> </v>
      </c>
      <c r="AN720" s="1780"/>
      <c r="AO720" s="1781"/>
      <c r="BA720" s="72"/>
      <c r="BB720" s="72"/>
      <c r="BC720" s="72"/>
      <c r="BD720" s="72"/>
      <c r="BE720" s="72"/>
      <c r="BF720" s="72"/>
      <c r="BG720" s="1457">
        <f t="shared" ref="BG720:BG743" si="29">G705</f>
        <v>5</v>
      </c>
      <c r="BH720" s="1461">
        <f t="shared" ref="BH720:BH743" si="30">BG720/$BG$744</f>
        <v>0.125</v>
      </c>
      <c r="BI720" s="1462">
        <f t="shared" ref="BI720:BI743" si="31">IF(BH720=0," ",BH720*AM705)</f>
        <v>3.7442835365853661E-2</v>
      </c>
      <c r="BJ720" s="72"/>
      <c r="BK720" s="72"/>
      <c r="BL720" s="72"/>
      <c r="BM720" s="72"/>
      <c r="BN720" s="72"/>
      <c r="BO720" s="72"/>
      <c r="BP720" s="908" t="s">
        <v>121</v>
      </c>
      <c r="BQ720" s="907">
        <v>1512</v>
      </c>
      <c r="BR720" s="907">
        <v>1620</v>
      </c>
      <c r="BS720" s="907">
        <v>1942</v>
      </c>
      <c r="BT720" s="907">
        <v>2244</v>
      </c>
      <c r="BU720" s="907">
        <v>2504</v>
      </c>
      <c r="BV720" s="907">
        <v>2762</v>
      </c>
      <c r="BX720" s="72"/>
      <c r="BY720" s="72"/>
      <c r="BZ720" s="72"/>
      <c r="CA720" s="72"/>
      <c r="CB720" s="72"/>
      <c r="CC720" s="72"/>
      <c r="CD720" s="72"/>
      <c r="CE720" s="72"/>
      <c r="CF720" s="72"/>
      <c r="CG720" s="72"/>
      <c r="CH720" s="72"/>
      <c r="CI720" s="72"/>
      <c r="CJ720" s="72"/>
      <c r="CK720" s="72"/>
      <c r="CL720" s="72"/>
      <c r="CM720" s="72"/>
      <c r="CN720" s="72"/>
      <c r="CO720" s="72"/>
      <c r="CP720" s="72"/>
      <c r="CQ720" s="72"/>
      <c r="CR720" s="72"/>
      <c r="CS720" s="72"/>
    </row>
    <row r="721" spans="1:97" ht="13.2">
      <c r="A721" s="1396"/>
      <c r="B721" s="1775"/>
      <c r="C721" s="1776"/>
      <c r="D721" s="1776"/>
      <c r="E721" s="1776"/>
      <c r="F721" s="1777"/>
      <c r="G721" s="1793"/>
      <c r="H721" s="1794"/>
      <c r="I721" s="1794"/>
      <c r="J721" s="1795"/>
      <c r="K721" s="1764"/>
      <c r="L721" s="1765"/>
      <c r="M721" s="1765"/>
      <c r="N721" s="1766"/>
      <c r="O721" s="1767"/>
      <c r="P721" s="1768"/>
      <c r="Q721" s="1768"/>
      <c r="R721" s="1768"/>
      <c r="S721" s="1769"/>
      <c r="T721" s="1770">
        <f t="shared" si="26"/>
        <v>0</v>
      </c>
      <c r="U721" s="1771"/>
      <c r="V721" s="1771"/>
      <c r="W721" s="1771"/>
      <c r="X721" s="1772"/>
      <c r="Y721" s="1767">
        <v>0</v>
      </c>
      <c r="Z721" s="1768"/>
      <c r="AA721" s="1768"/>
      <c r="AB721" s="1769"/>
      <c r="AC721" s="1770">
        <f t="shared" si="27"/>
        <v>0</v>
      </c>
      <c r="AD721" s="1771"/>
      <c r="AE721" s="1771"/>
      <c r="AF721" s="1771"/>
      <c r="AG721" s="1772"/>
      <c r="AH721" s="1782">
        <v>0</v>
      </c>
      <c r="AI721" s="1783"/>
      <c r="AJ721" s="1783"/>
      <c r="AK721" s="1783"/>
      <c r="AL721" s="1784"/>
      <c r="AM721" s="1779" t="str">
        <f t="shared" si="28"/>
        <v xml:space="preserve"> </v>
      </c>
      <c r="AN721" s="1780"/>
      <c r="AO721" s="1781"/>
      <c r="BA721" s="75"/>
      <c r="BB721" s="75"/>
      <c r="BC721" s="75"/>
      <c r="BD721" s="75"/>
      <c r="BE721" s="75"/>
      <c r="BF721" s="75"/>
      <c r="BG721" s="1457">
        <f t="shared" si="29"/>
        <v>7</v>
      </c>
      <c r="BH721" s="1461">
        <f t="shared" si="30"/>
        <v>0.17499999999999999</v>
      </c>
      <c r="BI721" s="1462">
        <f t="shared" si="31"/>
        <v>8.7499999999999994E-2</v>
      </c>
      <c r="BJ721" s="75"/>
      <c r="BK721" s="75"/>
      <c r="BL721" s="75"/>
      <c r="BM721" s="75"/>
      <c r="BN721" s="75"/>
      <c r="BO721" s="75"/>
      <c r="BP721" s="908" t="s">
        <v>122</v>
      </c>
      <c r="BQ721" s="907">
        <v>1744</v>
      </c>
      <c r="BR721" s="907">
        <v>1870</v>
      </c>
      <c r="BS721" s="907">
        <v>2244</v>
      </c>
      <c r="BT721" s="907">
        <v>2592</v>
      </c>
      <c r="BU721" s="907">
        <v>2892</v>
      </c>
      <c r="BV721" s="907">
        <v>3192</v>
      </c>
      <c r="BX721" s="75"/>
      <c r="BY721" s="75"/>
      <c r="BZ721" s="75"/>
      <c r="CA721" s="72"/>
      <c r="CB721" s="72"/>
      <c r="CC721" s="72"/>
      <c r="CD721" s="72"/>
      <c r="CE721" s="72"/>
      <c r="CF721" s="72"/>
      <c r="CG721" s="72"/>
      <c r="CH721" s="72"/>
      <c r="CI721" s="72"/>
      <c r="CJ721" s="72"/>
      <c r="CK721" s="72"/>
      <c r="CL721" s="72"/>
      <c r="CM721" s="72"/>
      <c r="CN721" s="72"/>
      <c r="CO721" s="72"/>
      <c r="CP721" s="72"/>
      <c r="CQ721" s="72"/>
      <c r="CR721" s="72"/>
      <c r="CS721" s="72"/>
    </row>
    <row r="722" spans="1:97" ht="13.2">
      <c r="A722" s="1396"/>
      <c r="B722" s="1775"/>
      <c r="C722" s="1776"/>
      <c r="D722" s="1776"/>
      <c r="E722" s="1776"/>
      <c r="F722" s="1777"/>
      <c r="G722" s="1793"/>
      <c r="H722" s="1794"/>
      <c r="I722" s="1794"/>
      <c r="J722" s="1795"/>
      <c r="K722" s="1764"/>
      <c r="L722" s="1765"/>
      <c r="M722" s="1765"/>
      <c r="N722" s="1766"/>
      <c r="O722" s="1767"/>
      <c r="P722" s="1768"/>
      <c r="Q722" s="1768"/>
      <c r="R722" s="1768"/>
      <c r="S722" s="1769"/>
      <c r="T722" s="1770">
        <f t="shared" si="26"/>
        <v>0</v>
      </c>
      <c r="U722" s="1771"/>
      <c r="V722" s="1771"/>
      <c r="W722" s="1771"/>
      <c r="X722" s="1772"/>
      <c r="Y722" s="1767">
        <v>0</v>
      </c>
      <c r="Z722" s="1768"/>
      <c r="AA722" s="1768"/>
      <c r="AB722" s="1769"/>
      <c r="AC722" s="1770">
        <f t="shared" si="27"/>
        <v>0</v>
      </c>
      <c r="AD722" s="1771"/>
      <c r="AE722" s="1771"/>
      <c r="AF722" s="1771"/>
      <c r="AG722" s="1772"/>
      <c r="AH722" s="1782">
        <v>0</v>
      </c>
      <c r="AI722" s="1783"/>
      <c r="AJ722" s="1783"/>
      <c r="AK722" s="1783"/>
      <c r="AL722" s="1784"/>
      <c r="AM722" s="1779" t="str">
        <f t="shared" si="28"/>
        <v xml:space="preserve"> </v>
      </c>
      <c r="AN722" s="1780"/>
      <c r="AO722" s="1781"/>
      <c r="BA722" s="75"/>
      <c r="BB722" s="75"/>
      <c r="BC722" s="75"/>
      <c r="BD722" s="75"/>
      <c r="BE722" s="75"/>
      <c r="BF722" s="75"/>
      <c r="BG722" s="1457">
        <f t="shared" si="29"/>
        <v>1</v>
      </c>
      <c r="BH722" s="1461">
        <f t="shared" si="30"/>
        <v>2.5000000000000001E-2</v>
      </c>
      <c r="BI722" s="1462">
        <f t="shared" si="31"/>
        <v>7.4968233799237623E-3</v>
      </c>
      <c r="BJ722" s="75"/>
      <c r="BK722" s="75"/>
      <c r="BL722" s="75"/>
      <c r="BM722" s="75"/>
      <c r="BN722" s="75"/>
      <c r="BO722" s="75"/>
      <c r="BP722" s="908" t="s">
        <v>123</v>
      </c>
      <c r="BQ722" s="907">
        <v>1320</v>
      </c>
      <c r="BR722" s="907">
        <v>1412</v>
      </c>
      <c r="BS722" s="907">
        <v>1694</v>
      </c>
      <c r="BT722" s="907">
        <v>1958</v>
      </c>
      <c r="BU722" s="907">
        <v>2184</v>
      </c>
      <c r="BV722" s="907">
        <v>2410</v>
      </c>
      <c r="BX722" s="75"/>
      <c r="BY722" s="75"/>
      <c r="BZ722" s="75"/>
      <c r="CA722" s="72"/>
      <c r="CB722" s="72"/>
      <c r="CC722" s="72"/>
      <c r="CD722" s="72"/>
      <c r="CE722" s="72"/>
      <c r="CF722" s="72"/>
      <c r="CG722" s="72"/>
      <c r="CH722" s="72"/>
      <c r="CI722" s="72"/>
      <c r="CJ722" s="72"/>
      <c r="CK722" s="72"/>
      <c r="CL722" s="72"/>
      <c r="CM722" s="72"/>
      <c r="CN722" s="72"/>
      <c r="CO722" s="72"/>
      <c r="CP722" s="72"/>
      <c r="CQ722" s="72"/>
      <c r="CR722" s="72"/>
      <c r="CS722" s="72"/>
    </row>
    <row r="723" spans="1:97" ht="13.2">
      <c r="A723" s="1396"/>
      <c r="B723" s="1775"/>
      <c r="C723" s="1776"/>
      <c r="D723" s="1776"/>
      <c r="E723" s="1776"/>
      <c r="F723" s="1777"/>
      <c r="G723" s="1793"/>
      <c r="H723" s="1794"/>
      <c r="I723" s="1794"/>
      <c r="J723" s="1795"/>
      <c r="K723" s="1764"/>
      <c r="L723" s="1765"/>
      <c r="M723" s="1765"/>
      <c r="N723" s="1766"/>
      <c r="O723" s="1767"/>
      <c r="P723" s="1768"/>
      <c r="Q723" s="1768"/>
      <c r="R723" s="1768"/>
      <c r="S723" s="1769"/>
      <c r="T723" s="1770">
        <f t="shared" si="26"/>
        <v>0</v>
      </c>
      <c r="U723" s="1771"/>
      <c r="V723" s="1771"/>
      <c r="W723" s="1771"/>
      <c r="X723" s="1772"/>
      <c r="Y723" s="1767">
        <v>0</v>
      </c>
      <c r="Z723" s="1768"/>
      <c r="AA723" s="1768"/>
      <c r="AB723" s="1769"/>
      <c r="AC723" s="1770">
        <f t="shared" si="27"/>
        <v>0</v>
      </c>
      <c r="AD723" s="1771"/>
      <c r="AE723" s="1771"/>
      <c r="AF723" s="1771"/>
      <c r="AG723" s="1772"/>
      <c r="AH723" s="1782">
        <v>0</v>
      </c>
      <c r="AI723" s="1783"/>
      <c r="AJ723" s="1783"/>
      <c r="AK723" s="1783"/>
      <c r="AL723" s="1784"/>
      <c r="AM723" s="1779" t="str">
        <f t="shared" si="28"/>
        <v xml:space="preserve"> </v>
      </c>
      <c r="AN723" s="1780"/>
      <c r="AO723" s="1781"/>
      <c r="BA723" s="75"/>
      <c r="BB723" s="75"/>
      <c r="BC723" s="75"/>
      <c r="BD723" s="75"/>
      <c r="BE723" s="75"/>
      <c r="BF723" s="75"/>
      <c r="BG723" s="1457">
        <f t="shared" si="29"/>
        <v>2</v>
      </c>
      <c r="BH723" s="1461">
        <f t="shared" si="30"/>
        <v>0.05</v>
      </c>
      <c r="BI723" s="1462">
        <f t="shared" si="31"/>
        <v>2.0012706480304957E-2</v>
      </c>
      <c r="BJ723" s="75"/>
      <c r="BK723" s="75"/>
      <c r="BL723" s="75"/>
      <c r="BM723" s="75"/>
      <c r="BN723" s="75"/>
      <c r="BO723" s="75"/>
      <c r="BP723" s="908" t="s">
        <v>124</v>
      </c>
      <c r="BQ723" s="907">
        <v>2022</v>
      </c>
      <c r="BR723" s="907">
        <v>2166</v>
      </c>
      <c r="BS723" s="907">
        <v>2600</v>
      </c>
      <c r="BT723" s="907">
        <v>3002</v>
      </c>
      <c r="BU723" s="907">
        <v>3350</v>
      </c>
      <c r="BV723" s="907">
        <v>3696</v>
      </c>
      <c r="BX723" s="75"/>
      <c r="BY723" s="75"/>
      <c r="BZ723" s="75"/>
      <c r="CA723" s="72"/>
      <c r="CB723" s="72"/>
      <c r="CC723" s="72"/>
      <c r="CD723" s="72"/>
      <c r="CE723" s="72"/>
      <c r="CF723" s="72"/>
      <c r="CG723" s="72"/>
      <c r="CH723" s="72"/>
      <c r="CI723" s="72"/>
      <c r="CJ723" s="72"/>
      <c r="CK723" s="72"/>
      <c r="CL723" s="72"/>
      <c r="CM723" s="72"/>
      <c r="CN723" s="72"/>
      <c r="CO723" s="72"/>
      <c r="CP723" s="72"/>
      <c r="CQ723" s="72"/>
      <c r="CR723" s="72"/>
      <c r="CS723" s="72"/>
    </row>
    <row r="724" spans="1:97" ht="13.2">
      <c r="A724" s="1396"/>
      <c r="B724" s="1775"/>
      <c r="C724" s="1776"/>
      <c r="D724" s="1776"/>
      <c r="E724" s="1776"/>
      <c r="F724" s="1777"/>
      <c r="G724" s="1793"/>
      <c r="H724" s="1794"/>
      <c r="I724" s="1794"/>
      <c r="J724" s="1795"/>
      <c r="K724" s="1764"/>
      <c r="L724" s="1765"/>
      <c r="M724" s="1765"/>
      <c r="N724" s="1766"/>
      <c r="O724" s="1767"/>
      <c r="P724" s="1768"/>
      <c r="Q724" s="1768"/>
      <c r="R724" s="1768"/>
      <c r="S724" s="1769"/>
      <c r="T724" s="1770">
        <f t="shared" si="26"/>
        <v>0</v>
      </c>
      <c r="U724" s="1771"/>
      <c r="V724" s="1771"/>
      <c r="W724" s="1771"/>
      <c r="X724" s="1772"/>
      <c r="Y724" s="1767">
        <v>0</v>
      </c>
      <c r="Z724" s="1768"/>
      <c r="AA724" s="1768"/>
      <c r="AB724" s="1769"/>
      <c r="AC724" s="1770">
        <f t="shared" si="27"/>
        <v>0</v>
      </c>
      <c r="AD724" s="1771"/>
      <c r="AE724" s="1771"/>
      <c r="AF724" s="1771"/>
      <c r="AG724" s="1772"/>
      <c r="AH724" s="1782">
        <v>0</v>
      </c>
      <c r="AI724" s="1783"/>
      <c r="AJ724" s="1783"/>
      <c r="AK724" s="1783"/>
      <c r="AL724" s="1784"/>
      <c r="AM724" s="1779" t="str">
        <f t="shared" si="28"/>
        <v xml:space="preserve"> </v>
      </c>
      <c r="AN724" s="1780"/>
      <c r="AO724" s="1781"/>
      <c r="BA724" s="75"/>
      <c r="BB724" s="75"/>
      <c r="BC724" s="75"/>
      <c r="BD724" s="75"/>
      <c r="BE724" s="75"/>
      <c r="BF724" s="75"/>
      <c r="BG724" s="1457">
        <f t="shared" si="29"/>
        <v>3</v>
      </c>
      <c r="BH724" s="1461">
        <f t="shared" si="30"/>
        <v>7.4999999999999997E-2</v>
      </c>
      <c r="BI724" s="1462">
        <f t="shared" si="31"/>
        <v>3.7499999999999999E-2</v>
      </c>
      <c r="BJ724" s="75"/>
      <c r="BK724" s="75"/>
      <c r="BL724" s="75"/>
      <c r="BM724" s="75"/>
      <c r="BN724" s="75"/>
      <c r="BO724" s="75"/>
      <c r="BP724" s="908" t="s">
        <v>125</v>
      </c>
      <c r="BQ724" s="907">
        <v>3044</v>
      </c>
      <c r="BR724" s="907">
        <v>3262</v>
      </c>
      <c r="BS724" s="907">
        <v>3914</v>
      </c>
      <c r="BT724" s="907">
        <v>4524</v>
      </c>
      <c r="BU724" s="907">
        <v>5046</v>
      </c>
      <c r="BV724" s="907">
        <v>5568</v>
      </c>
      <c r="BX724" s="75"/>
      <c r="BY724" s="75"/>
      <c r="BZ724" s="75"/>
      <c r="CA724" s="72"/>
      <c r="CB724" s="72"/>
      <c r="CC724" s="72"/>
      <c r="CD724" s="72"/>
      <c r="CE724" s="72"/>
      <c r="CF724" s="72"/>
      <c r="CG724" s="72"/>
      <c r="CH724" s="72"/>
      <c r="CI724" s="72"/>
      <c r="CJ724" s="72"/>
      <c r="CK724" s="72"/>
      <c r="CL724" s="72"/>
      <c r="CM724" s="72"/>
      <c r="CN724" s="72"/>
      <c r="CO724" s="72"/>
      <c r="CP724" s="72"/>
      <c r="CQ724" s="72"/>
      <c r="CR724" s="72"/>
      <c r="CS724" s="72"/>
    </row>
    <row r="725" spans="1:97" ht="13.2">
      <c r="A725" s="1396"/>
      <c r="B725" s="1775"/>
      <c r="C725" s="1776"/>
      <c r="D725" s="1776"/>
      <c r="E725" s="1776"/>
      <c r="F725" s="1777"/>
      <c r="G725" s="1793"/>
      <c r="H725" s="1794"/>
      <c r="I725" s="1794"/>
      <c r="J725" s="1795"/>
      <c r="K725" s="1764"/>
      <c r="L725" s="1765"/>
      <c r="M725" s="1765"/>
      <c r="N725" s="1766"/>
      <c r="O725" s="1767"/>
      <c r="P725" s="1768"/>
      <c r="Q725" s="1768"/>
      <c r="R725" s="1768"/>
      <c r="S725" s="1769"/>
      <c r="T725" s="1770">
        <f t="shared" si="26"/>
        <v>0</v>
      </c>
      <c r="U725" s="1771"/>
      <c r="V725" s="1771"/>
      <c r="W725" s="1771"/>
      <c r="X725" s="1772"/>
      <c r="Y725" s="1767">
        <v>0</v>
      </c>
      <c r="Z725" s="1768"/>
      <c r="AA725" s="1768"/>
      <c r="AB725" s="1769"/>
      <c r="AC725" s="1770">
        <f t="shared" si="27"/>
        <v>0</v>
      </c>
      <c r="AD725" s="1771"/>
      <c r="AE725" s="1771"/>
      <c r="AF725" s="1771"/>
      <c r="AG725" s="1772"/>
      <c r="AH725" s="1782">
        <v>0</v>
      </c>
      <c r="AI725" s="1783"/>
      <c r="AJ725" s="1783"/>
      <c r="AK725" s="1783"/>
      <c r="AL725" s="1784"/>
      <c r="AM725" s="1779" t="str">
        <f t="shared" si="28"/>
        <v xml:space="preserve"> </v>
      </c>
      <c r="AN725" s="1780"/>
      <c r="AO725" s="1781"/>
      <c r="BA725" s="75"/>
      <c r="BB725" s="75"/>
      <c r="BC725" s="75"/>
      <c r="BD725" s="75"/>
      <c r="BE725" s="75"/>
      <c r="BF725" s="75"/>
      <c r="BG725" s="1457">
        <f t="shared" si="29"/>
        <v>2</v>
      </c>
      <c r="BH725" s="1461">
        <f t="shared" si="30"/>
        <v>0.05</v>
      </c>
      <c r="BI725" s="1462">
        <f t="shared" si="31"/>
        <v>2.7636594663278276E-2</v>
      </c>
      <c r="BJ725" s="75"/>
      <c r="BK725" s="75"/>
      <c r="BL725" s="75"/>
      <c r="BM725" s="75"/>
      <c r="BN725" s="75"/>
      <c r="BO725" s="75"/>
      <c r="BP725" s="908" t="s">
        <v>126</v>
      </c>
      <c r="BQ725" s="907">
        <v>1312</v>
      </c>
      <c r="BR725" s="907">
        <v>1406</v>
      </c>
      <c r="BS725" s="907">
        <v>1686</v>
      </c>
      <c r="BT725" s="907">
        <v>1950</v>
      </c>
      <c r="BU725" s="907">
        <v>2174</v>
      </c>
      <c r="BV725" s="907">
        <v>2400</v>
      </c>
      <c r="BX725" s="75"/>
      <c r="BY725" s="75"/>
      <c r="BZ725" s="75"/>
      <c r="CA725" s="72"/>
      <c r="CB725" s="72"/>
      <c r="CC725" s="72"/>
      <c r="CD725" s="72"/>
      <c r="CE725" s="72"/>
      <c r="CF725" s="72"/>
      <c r="CG725" s="72"/>
      <c r="CH725" s="72"/>
      <c r="CI725" s="72"/>
      <c r="CJ725" s="72"/>
      <c r="CK725" s="72"/>
      <c r="CL725" s="72"/>
      <c r="CM725" s="72"/>
      <c r="CN725" s="72"/>
      <c r="CO725" s="72"/>
      <c r="CP725" s="72"/>
      <c r="CQ725" s="72"/>
      <c r="CR725" s="72"/>
      <c r="CS725" s="72"/>
    </row>
    <row r="726" spans="1:97" ht="13.2">
      <c r="A726" s="1396"/>
      <c r="B726" s="1775"/>
      <c r="C726" s="1776"/>
      <c r="D726" s="1776"/>
      <c r="E726" s="1776"/>
      <c r="F726" s="1777"/>
      <c r="G726" s="1793"/>
      <c r="H726" s="1794"/>
      <c r="I726" s="1794"/>
      <c r="J726" s="1795"/>
      <c r="K726" s="1764"/>
      <c r="L726" s="1765"/>
      <c r="M726" s="1765"/>
      <c r="N726" s="1766"/>
      <c r="O726" s="1767"/>
      <c r="P726" s="1768"/>
      <c r="Q726" s="1768"/>
      <c r="R726" s="1768"/>
      <c r="S726" s="1769"/>
      <c r="T726" s="1770">
        <f t="shared" si="26"/>
        <v>0</v>
      </c>
      <c r="U726" s="1771"/>
      <c r="V726" s="1771"/>
      <c r="W726" s="1771"/>
      <c r="X726" s="1772"/>
      <c r="Y726" s="1767">
        <v>0</v>
      </c>
      <c r="Z726" s="1768"/>
      <c r="AA726" s="1768"/>
      <c r="AB726" s="1769"/>
      <c r="AC726" s="1770">
        <f t="shared" si="27"/>
        <v>0</v>
      </c>
      <c r="AD726" s="1771"/>
      <c r="AE726" s="1771"/>
      <c r="AF726" s="1771"/>
      <c r="AG726" s="1772"/>
      <c r="AH726" s="1782">
        <v>0</v>
      </c>
      <c r="AI726" s="1783"/>
      <c r="AJ726" s="1783"/>
      <c r="AK726" s="1783"/>
      <c r="AL726" s="1784"/>
      <c r="AM726" s="1779" t="str">
        <f t="shared" si="28"/>
        <v xml:space="preserve"> </v>
      </c>
      <c r="AN726" s="1780"/>
      <c r="AO726" s="1781"/>
      <c r="BA726" s="62"/>
      <c r="BB726" s="326"/>
      <c r="BC726" s="326"/>
      <c r="BD726" s="326"/>
      <c r="BE726" s="807"/>
      <c r="BF726" s="807"/>
      <c r="BG726" s="1457">
        <f t="shared" si="29"/>
        <v>1</v>
      </c>
      <c r="BH726" s="1461">
        <f t="shared" si="30"/>
        <v>2.5000000000000001E-2</v>
      </c>
      <c r="BI726" s="1462">
        <f t="shared" si="31"/>
        <v>7.502753303964757E-3</v>
      </c>
      <c r="BJ726" s="75"/>
      <c r="BK726" s="75"/>
      <c r="BL726" s="75"/>
      <c r="BM726" s="75"/>
      <c r="BN726" s="75"/>
      <c r="BO726" s="75"/>
      <c r="BP726" s="908" t="s">
        <v>127</v>
      </c>
      <c r="BQ726" s="907">
        <v>1696</v>
      </c>
      <c r="BR726" s="907">
        <v>1818</v>
      </c>
      <c r="BS726" s="907">
        <v>2182</v>
      </c>
      <c r="BT726" s="907">
        <v>2522</v>
      </c>
      <c r="BU726" s="907">
        <v>2814</v>
      </c>
      <c r="BV726" s="907">
        <v>3104</v>
      </c>
      <c r="BX726" s="75"/>
      <c r="BY726" s="75"/>
      <c r="BZ726" s="75"/>
      <c r="CA726" s="72"/>
      <c r="CB726" s="72"/>
      <c r="CC726" s="72"/>
      <c r="CD726" s="72"/>
      <c r="CE726" s="72"/>
      <c r="CF726" s="72"/>
      <c r="CG726" s="72"/>
      <c r="CH726" s="72"/>
      <c r="CI726" s="72"/>
      <c r="CJ726" s="72"/>
      <c r="CK726" s="72"/>
      <c r="CL726" s="72"/>
      <c r="CM726" s="72"/>
      <c r="CN726" s="72"/>
      <c r="CO726" s="72"/>
      <c r="CP726" s="72"/>
      <c r="CQ726" s="72"/>
      <c r="CR726" s="72"/>
      <c r="CS726" s="72"/>
    </row>
    <row r="727" spans="1:97" ht="13.2">
      <c r="A727" s="1396"/>
      <c r="B727" s="1775"/>
      <c r="C727" s="1776"/>
      <c r="D727" s="1776"/>
      <c r="E727" s="1776"/>
      <c r="F727" s="1777"/>
      <c r="G727" s="1793"/>
      <c r="H727" s="1794"/>
      <c r="I727" s="1794"/>
      <c r="J727" s="1795"/>
      <c r="K727" s="1764"/>
      <c r="L727" s="1765"/>
      <c r="M727" s="1765"/>
      <c r="N727" s="1766"/>
      <c r="O727" s="1767"/>
      <c r="P727" s="1768"/>
      <c r="Q727" s="1768"/>
      <c r="R727" s="1768"/>
      <c r="S727" s="1769"/>
      <c r="T727" s="1770">
        <f t="shared" si="26"/>
        <v>0</v>
      </c>
      <c r="U727" s="1771"/>
      <c r="V727" s="1771"/>
      <c r="W727" s="1771"/>
      <c r="X727" s="1772"/>
      <c r="Y727" s="1767">
        <v>0</v>
      </c>
      <c r="Z727" s="1768"/>
      <c r="AA727" s="1768"/>
      <c r="AB727" s="1769"/>
      <c r="AC727" s="1770">
        <f t="shared" si="27"/>
        <v>0</v>
      </c>
      <c r="AD727" s="1771"/>
      <c r="AE727" s="1771"/>
      <c r="AF727" s="1771"/>
      <c r="AG727" s="1772"/>
      <c r="AH727" s="1782">
        <v>0</v>
      </c>
      <c r="AI727" s="1783"/>
      <c r="AJ727" s="1783"/>
      <c r="AK727" s="1783"/>
      <c r="AL727" s="1784"/>
      <c r="AM727" s="1779" t="str">
        <f t="shared" si="28"/>
        <v xml:space="preserve"> </v>
      </c>
      <c r="AN727" s="1780"/>
      <c r="AO727" s="1781"/>
      <c r="BA727" s="326"/>
      <c r="BB727" s="326"/>
      <c r="BC727" s="326"/>
      <c r="BD727" s="326"/>
      <c r="BE727" s="807"/>
      <c r="BF727" s="807"/>
      <c r="BG727" s="1457">
        <f t="shared" si="29"/>
        <v>2</v>
      </c>
      <c r="BH727" s="1461">
        <f t="shared" si="30"/>
        <v>0.05</v>
      </c>
      <c r="BI727" s="1462">
        <f t="shared" si="31"/>
        <v>2.0016519823788548E-2</v>
      </c>
      <c r="BJ727" s="75"/>
      <c r="BK727" s="75"/>
      <c r="BL727" s="75"/>
      <c r="BM727" s="75"/>
      <c r="BN727" s="75"/>
      <c r="BO727" s="75"/>
      <c r="BP727" s="908" t="s">
        <v>128</v>
      </c>
      <c r="BQ727" s="907">
        <v>3044</v>
      </c>
      <c r="BR727" s="907">
        <v>3262</v>
      </c>
      <c r="BS727" s="907">
        <v>3914</v>
      </c>
      <c r="BT727" s="907">
        <v>4524</v>
      </c>
      <c r="BU727" s="907">
        <v>5046</v>
      </c>
      <c r="BV727" s="907">
        <v>5568</v>
      </c>
      <c r="BX727" s="75"/>
      <c r="BY727" s="75"/>
      <c r="BZ727" s="75"/>
      <c r="CA727" s="72"/>
      <c r="CB727" s="72"/>
      <c r="CC727" s="72"/>
      <c r="CD727" s="72"/>
      <c r="CE727" s="72"/>
      <c r="CF727" s="72"/>
      <c r="CG727" s="72"/>
      <c r="CH727" s="72"/>
      <c r="CI727" s="72"/>
      <c r="CJ727" s="72"/>
      <c r="CK727" s="72"/>
      <c r="CL727" s="72"/>
      <c r="CM727" s="72"/>
      <c r="CN727" s="72"/>
      <c r="CO727" s="72"/>
      <c r="CP727" s="72"/>
      <c r="CQ727" s="72"/>
      <c r="CR727" s="72"/>
      <c r="CS727" s="72"/>
    </row>
    <row r="728" spans="1:97" ht="13.2">
      <c r="A728" s="1396"/>
      <c r="B728" s="1775"/>
      <c r="C728" s="1776"/>
      <c r="D728" s="1776"/>
      <c r="E728" s="1776"/>
      <c r="F728" s="1777"/>
      <c r="G728" s="1793"/>
      <c r="H728" s="1794"/>
      <c r="I728" s="1794"/>
      <c r="J728" s="1795"/>
      <c r="K728" s="1764"/>
      <c r="L728" s="1765"/>
      <c r="M728" s="1765"/>
      <c r="N728" s="1766"/>
      <c r="O728" s="1767"/>
      <c r="P728" s="1768"/>
      <c r="Q728" s="1768"/>
      <c r="R728" s="1768"/>
      <c r="S728" s="1769"/>
      <c r="T728" s="1770">
        <f t="shared" si="26"/>
        <v>0</v>
      </c>
      <c r="U728" s="1771"/>
      <c r="V728" s="1771"/>
      <c r="W728" s="1771"/>
      <c r="X728" s="1772"/>
      <c r="Y728" s="1767">
        <v>0</v>
      </c>
      <c r="Z728" s="1768"/>
      <c r="AA728" s="1768"/>
      <c r="AB728" s="1769"/>
      <c r="AC728" s="1770">
        <f t="shared" si="27"/>
        <v>0</v>
      </c>
      <c r="AD728" s="1771"/>
      <c r="AE728" s="1771"/>
      <c r="AF728" s="1771"/>
      <c r="AG728" s="1772"/>
      <c r="AH728" s="1782">
        <v>0</v>
      </c>
      <c r="AI728" s="1783"/>
      <c r="AJ728" s="1783"/>
      <c r="AK728" s="1783"/>
      <c r="AL728" s="1784"/>
      <c r="AM728" s="1779" t="str">
        <f t="shared" si="28"/>
        <v xml:space="preserve"> </v>
      </c>
      <c r="AN728" s="1780"/>
      <c r="AO728" s="1781"/>
      <c r="BA728" s="326"/>
      <c r="BB728" s="326"/>
      <c r="BC728" s="326"/>
      <c r="BD728" s="326"/>
      <c r="BE728" s="807"/>
      <c r="BF728" s="807"/>
      <c r="BG728" s="1457">
        <f t="shared" si="29"/>
        <v>2</v>
      </c>
      <c r="BH728" s="1461">
        <f t="shared" si="30"/>
        <v>0.05</v>
      </c>
      <c r="BI728" s="1462">
        <f t="shared" si="31"/>
        <v>3.0011013215859028E-2</v>
      </c>
      <c r="BJ728" s="75"/>
      <c r="BK728" s="75"/>
      <c r="BL728" s="75"/>
      <c r="BM728" s="75"/>
      <c r="BN728" s="75"/>
      <c r="BO728" s="75"/>
      <c r="BP728" s="908" t="s">
        <v>885</v>
      </c>
      <c r="BQ728" s="907">
        <v>2082</v>
      </c>
      <c r="BR728" s="907">
        <v>2230</v>
      </c>
      <c r="BS728" s="907">
        <v>2676</v>
      </c>
      <c r="BT728" s="907">
        <v>3094</v>
      </c>
      <c r="BU728" s="907">
        <v>3452</v>
      </c>
      <c r="BV728" s="907">
        <v>3808</v>
      </c>
      <c r="BX728" s="75"/>
      <c r="BY728" s="75"/>
      <c r="BZ728" s="75"/>
      <c r="CA728" s="72"/>
      <c r="CB728" s="72"/>
      <c r="CC728" s="72"/>
      <c r="CD728" s="72"/>
      <c r="CE728" s="72"/>
      <c r="CF728" s="72"/>
      <c r="CG728" s="72"/>
      <c r="CH728" s="72"/>
      <c r="CI728" s="72"/>
      <c r="CJ728" s="72"/>
      <c r="CK728" s="72"/>
      <c r="CL728" s="72"/>
      <c r="CM728" s="72"/>
      <c r="CN728" s="72"/>
      <c r="CO728" s="72"/>
      <c r="CP728" s="72"/>
      <c r="CQ728" s="72"/>
      <c r="CR728" s="72"/>
      <c r="CS728" s="72"/>
    </row>
    <row r="729" spans="1:97" ht="13.2">
      <c r="A729" s="1396"/>
      <c r="B729" s="1848" t="s">
        <v>976</v>
      </c>
      <c r="C729" s="1849"/>
      <c r="D729" s="1849"/>
      <c r="E729" s="1849"/>
      <c r="F729" s="1851"/>
      <c r="G729" s="2093">
        <f>SUM(G704:J728)</f>
        <v>40</v>
      </c>
      <c r="H729" s="2094"/>
      <c r="I729" s="2094"/>
      <c r="J729" s="2095"/>
      <c r="K729" s="1396"/>
      <c r="L729" s="1396"/>
      <c r="M729" s="1396"/>
      <c r="N729" s="1396"/>
      <c r="O729" s="683" t="s">
        <v>975</v>
      </c>
      <c r="P729" s="684"/>
      <c r="Q729" s="684"/>
      <c r="R729" s="684"/>
      <c r="S729" s="1447"/>
      <c r="T729" s="1770">
        <f>SUM(T704:X728)</f>
        <v>20317</v>
      </c>
      <c r="U729" s="1771"/>
      <c r="V729" s="1771"/>
      <c r="W729" s="1771"/>
      <c r="X729" s="1772"/>
      <c r="Y729" s="1396"/>
      <c r="Z729" s="1396"/>
      <c r="AA729" s="1396"/>
      <c r="AB729" s="1396"/>
      <c r="AC729" s="1448" t="s">
        <v>1262</v>
      </c>
      <c r="AD729" s="1449"/>
      <c r="AE729" s="1449"/>
      <c r="AF729" s="1449"/>
      <c r="AG729" s="1450"/>
      <c r="AH729" s="2003">
        <f>BI713</f>
        <v>0</v>
      </c>
      <c r="AI729" s="2004"/>
      <c r="AJ729" s="2004"/>
      <c r="AK729" s="2004"/>
      <c r="AL729" s="2005"/>
      <c r="AM729" s="2003">
        <f>BI744</f>
        <v>0.38755797172316908</v>
      </c>
      <c r="AN729" s="2004"/>
      <c r="AO729" s="2005"/>
      <c r="BA729" s="326"/>
      <c r="BB729" s="326"/>
      <c r="BC729" s="326"/>
      <c r="BD729" s="326"/>
      <c r="BE729" s="807"/>
      <c r="BF729" s="807"/>
      <c r="BG729" s="1457">
        <f t="shared" si="29"/>
        <v>0</v>
      </c>
      <c r="BH729" s="1461">
        <f t="shared" si="30"/>
        <v>0</v>
      </c>
      <c r="BI729" s="1462" t="str">
        <f t="shared" si="31"/>
        <v xml:space="preserve"> </v>
      </c>
      <c r="BJ729" s="75"/>
      <c r="BK729" s="75"/>
      <c r="BL729" s="75"/>
      <c r="BM729" s="75"/>
      <c r="BN729" s="75"/>
      <c r="BO729" s="75"/>
      <c r="BP729" s="908" t="s">
        <v>886</v>
      </c>
      <c r="BQ729" s="907">
        <v>2764</v>
      </c>
      <c r="BR729" s="907">
        <v>2962</v>
      </c>
      <c r="BS729" s="907">
        <v>3554</v>
      </c>
      <c r="BT729" s="907">
        <v>4106</v>
      </c>
      <c r="BU729" s="907">
        <v>4580</v>
      </c>
      <c r="BV729" s="907">
        <v>5052</v>
      </c>
      <c r="BX729" s="75"/>
      <c r="BY729" s="75"/>
      <c r="BZ729" s="75"/>
      <c r="CA729" s="72"/>
      <c r="CB729" s="72"/>
      <c r="CC729" s="72"/>
      <c r="CD729" s="72"/>
      <c r="CE729" s="72"/>
      <c r="CF729" s="72"/>
      <c r="CG729" s="72"/>
      <c r="CH729" s="72"/>
      <c r="CI729" s="72"/>
      <c r="CJ729" s="72"/>
      <c r="CK729" s="72"/>
      <c r="CL729" s="72"/>
      <c r="CM729" s="72"/>
      <c r="CN729" s="72"/>
      <c r="CO729" s="72"/>
      <c r="CP729" s="72"/>
      <c r="CQ729" s="72"/>
      <c r="CR729" s="72"/>
      <c r="CS729" s="72"/>
    </row>
    <row r="730" spans="1:97" ht="13.2">
      <c r="B730" s="103"/>
      <c r="C730" s="103"/>
      <c r="D730" s="103"/>
      <c r="E730" s="103"/>
      <c r="F730" s="103"/>
      <c r="G730" s="784"/>
      <c r="H730" s="784"/>
      <c r="I730" s="784"/>
      <c r="J730" s="784"/>
      <c r="K730" s="103"/>
      <c r="L730" s="103"/>
      <c r="M730" s="103"/>
      <c r="N730" s="103"/>
      <c r="O730" s="103"/>
      <c r="P730" s="468"/>
      <c r="Q730" s="468"/>
      <c r="R730" s="468"/>
      <c r="S730" s="468"/>
      <c r="T730" s="468"/>
      <c r="U730" s="500"/>
      <c r="Y730" s="103"/>
      <c r="Z730" s="103"/>
      <c r="AA730" s="103"/>
      <c r="AB730" s="103"/>
      <c r="AC730" s="103"/>
      <c r="AD730" s="783"/>
      <c r="AE730" s="89"/>
      <c r="AF730" s="89"/>
      <c r="AG730" s="89"/>
      <c r="AH730" s="89"/>
      <c r="AL730" s="72"/>
      <c r="AM730" s="807"/>
      <c r="BA730" s="72"/>
      <c r="BB730" s="72"/>
      <c r="BC730" s="72"/>
      <c r="BD730" s="72"/>
      <c r="BE730" s="72"/>
      <c r="BF730" s="72"/>
      <c r="BG730" s="1457">
        <f t="shared" si="29"/>
        <v>0</v>
      </c>
      <c r="BH730" s="1461">
        <f t="shared" si="30"/>
        <v>0</v>
      </c>
      <c r="BI730" s="1462" t="str">
        <f t="shared" si="31"/>
        <v xml:space="preserve"> </v>
      </c>
      <c r="BJ730" s="72"/>
      <c r="BK730" s="72"/>
      <c r="BL730" s="72"/>
      <c r="BM730" s="72"/>
      <c r="BN730" s="72"/>
      <c r="BO730" s="72"/>
      <c r="BP730" s="908" t="s">
        <v>887</v>
      </c>
      <c r="BQ730" s="907">
        <v>2316</v>
      </c>
      <c r="BR730" s="907">
        <v>2482</v>
      </c>
      <c r="BS730" s="907">
        <v>2980</v>
      </c>
      <c r="BT730" s="907">
        <v>3442</v>
      </c>
      <c r="BU730" s="907">
        <v>3840</v>
      </c>
      <c r="BV730" s="907">
        <v>4236</v>
      </c>
      <c r="BX730" s="72"/>
      <c r="BY730" s="72"/>
      <c r="BZ730" s="72"/>
      <c r="CA730" s="72"/>
      <c r="CB730" s="72"/>
      <c r="CC730" s="72"/>
      <c r="CD730" s="72"/>
      <c r="CE730" s="72"/>
      <c r="CF730" s="72"/>
      <c r="CG730" s="72"/>
      <c r="CH730" s="72"/>
      <c r="CI730" s="72"/>
      <c r="CJ730" s="72"/>
      <c r="CK730" s="72"/>
      <c r="CL730" s="72"/>
      <c r="CM730" s="72"/>
      <c r="CN730" s="72"/>
      <c r="CO730" s="72"/>
      <c r="CP730" s="72"/>
      <c r="CQ730" s="72"/>
      <c r="CR730" s="72"/>
      <c r="CS730" s="72"/>
    </row>
    <row r="731" spans="1:97" ht="13.2">
      <c r="B731" s="787" t="s">
        <v>1373</v>
      </c>
      <c r="C731" s="786"/>
      <c r="D731" s="786"/>
      <c r="E731" s="786"/>
      <c r="F731" s="786"/>
      <c r="G731" s="789"/>
      <c r="H731" s="789"/>
      <c r="I731" s="789"/>
      <c r="J731" s="789"/>
      <c r="K731" s="786"/>
      <c r="L731" s="786"/>
      <c r="M731" s="786"/>
      <c r="N731" s="786"/>
      <c r="O731" s="786"/>
      <c r="P731" s="788"/>
      <c r="Q731" s="788"/>
      <c r="R731" s="788"/>
      <c r="S731" s="788"/>
      <c r="T731" s="788"/>
      <c r="U731" s="597"/>
      <c r="V731" s="597"/>
      <c r="W731" s="597"/>
      <c r="X731" s="597"/>
      <c r="Y731" s="786"/>
      <c r="Z731" s="786"/>
      <c r="AA731" s="786"/>
      <c r="AB731" s="786"/>
      <c r="AC731" s="786"/>
      <c r="AD731" s="790"/>
      <c r="AE731" s="791"/>
      <c r="AF731" s="1987" t="s">
        <v>136</v>
      </c>
      <c r="AG731" s="1987"/>
      <c r="AH731" s="1987"/>
      <c r="AL731" s="72"/>
      <c r="AM731" s="72"/>
      <c r="BA731" s="72"/>
      <c r="BB731" s="72"/>
      <c r="BC731" s="72"/>
      <c r="BD731" s="72"/>
      <c r="BE731" s="72"/>
      <c r="BF731" s="72"/>
      <c r="BG731" s="1457">
        <f t="shared" si="29"/>
        <v>0</v>
      </c>
      <c r="BH731" s="1461">
        <f t="shared" si="30"/>
        <v>0</v>
      </c>
      <c r="BI731" s="1462" t="str">
        <f t="shared" si="31"/>
        <v xml:space="preserve"> </v>
      </c>
      <c r="BJ731" s="72"/>
      <c r="BK731" s="72"/>
      <c r="BL731" s="72"/>
      <c r="BM731" s="72"/>
      <c r="BN731" s="72"/>
      <c r="BO731" s="72"/>
      <c r="BP731" s="908" t="s">
        <v>888</v>
      </c>
      <c r="BQ731" s="907">
        <v>1224</v>
      </c>
      <c r="BR731" s="907">
        <v>1312</v>
      </c>
      <c r="BS731" s="907">
        <v>1574</v>
      </c>
      <c r="BT731" s="907">
        <v>1816</v>
      </c>
      <c r="BU731" s="907">
        <v>2026</v>
      </c>
      <c r="BV731" s="907">
        <v>2236</v>
      </c>
      <c r="BX731" s="72"/>
      <c r="BY731" s="72"/>
      <c r="BZ731" s="72"/>
      <c r="CA731" s="72"/>
      <c r="CB731" s="72"/>
      <c r="CC731" s="72"/>
      <c r="CD731" s="72"/>
      <c r="CE731" s="72"/>
      <c r="CF731" s="72"/>
      <c r="CG731" s="72"/>
      <c r="CH731" s="72"/>
      <c r="CI731" s="72"/>
      <c r="CJ731" s="72"/>
      <c r="CK731" s="72"/>
      <c r="CL731" s="72"/>
      <c r="CM731" s="72"/>
      <c r="CN731" s="72"/>
      <c r="CO731" s="72"/>
      <c r="CP731" s="72"/>
      <c r="CQ731" s="72"/>
      <c r="CR731" s="72"/>
      <c r="CS731" s="72"/>
    </row>
    <row r="732" spans="1:97" ht="13.2">
      <c r="B732" s="785" t="s">
        <v>1705</v>
      </c>
      <c r="C732" s="804"/>
      <c r="D732" s="804"/>
      <c r="E732" s="804"/>
      <c r="F732" s="804"/>
      <c r="G732" s="789"/>
      <c r="H732" s="789"/>
      <c r="I732" s="789"/>
      <c r="J732" s="789"/>
      <c r="K732" s="804"/>
      <c r="L732" s="804"/>
      <c r="M732" s="804"/>
      <c r="N732" s="804"/>
      <c r="O732" s="804"/>
      <c r="P732" s="788"/>
      <c r="Q732" s="788"/>
      <c r="R732" s="788"/>
      <c r="S732" s="788"/>
      <c r="T732" s="788"/>
      <c r="U732" s="794"/>
      <c r="V732" s="794"/>
      <c r="W732" s="794"/>
      <c r="X732" s="794"/>
      <c r="Y732" s="804"/>
      <c r="Z732" s="804"/>
      <c r="AA732" s="804"/>
      <c r="AB732" s="804"/>
      <c r="AC732" s="804"/>
      <c r="AD732" s="805"/>
      <c r="AE732" s="806"/>
      <c r="AF732" s="806"/>
      <c r="AG732" s="806"/>
      <c r="AH732" s="806"/>
      <c r="AI732" s="50"/>
      <c r="AJ732" s="50"/>
      <c r="AK732" s="50"/>
      <c r="AL732" s="72"/>
      <c r="AM732" s="72"/>
      <c r="BA732" s="72"/>
      <c r="BB732" s="72"/>
      <c r="BC732" s="72"/>
      <c r="BD732" s="72"/>
      <c r="BE732" s="72"/>
      <c r="BF732" s="72"/>
      <c r="BG732" s="1457">
        <f t="shared" si="29"/>
        <v>0</v>
      </c>
      <c r="BH732" s="1461">
        <f t="shared" si="30"/>
        <v>0</v>
      </c>
      <c r="BI732" s="1462" t="str">
        <f t="shared" si="31"/>
        <v xml:space="preserve"> </v>
      </c>
      <c r="BJ732" s="72"/>
      <c r="BK732" s="72"/>
      <c r="BL732" s="72"/>
      <c r="BM732" s="72"/>
      <c r="BN732" s="72"/>
      <c r="BO732" s="72"/>
      <c r="BP732" s="908" t="s">
        <v>889</v>
      </c>
      <c r="BQ732" s="907">
        <v>1410</v>
      </c>
      <c r="BR732" s="907">
        <v>1510</v>
      </c>
      <c r="BS732" s="907">
        <v>1812</v>
      </c>
      <c r="BT732" s="907">
        <v>2092</v>
      </c>
      <c r="BU732" s="907">
        <v>2334</v>
      </c>
      <c r="BV732" s="907">
        <v>2576</v>
      </c>
      <c r="BX732" s="72"/>
      <c r="BY732" s="72"/>
      <c r="BZ732" s="72"/>
      <c r="CA732" s="72"/>
      <c r="CB732" s="72"/>
      <c r="CC732" s="72"/>
      <c r="CD732" s="72"/>
      <c r="CE732" s="72"/>
      <c r="CF732" s="72"/>
      <c r="CG732" s="72"/>
      <c r="CH732" s="72"/>
      <c r="CI732" s="72"/>
      <c r="CJ732" s="72"/>
      <c r="CK732" s="72"/>
      <c r="CL732" s="72"/>
      <c r="CM732" s="72"/>
      <c r="CN732" s="72"/>
      <c r="CO732" s="72"/>
      <c r="CP732" s="72"/>
      <c r="CQ732" s="72"/>
      <c r="CR732" s="72"/>
      <c r="CS732" s="72"/>
    </row>
    <row r="733" spans="1:97" ht="13.2">
      <c r="B733" s="785" t="s">
        <v>1706</v>
      </c>
      <c r="C733" s="804"/>
      <c r="D733" s="804"/>
      <c r="E733" s="804"/>
      <c r="F733" s="804"/>
      <c r="G733" s="789"/>
      <c r="H733" s="789"/>
      <c r="I733" s="789"/>
      <c r="J733" s="789"/>
      <c r="K733" s="804"/>
      <c r="L733" s="804"/>
      <c r="M733" s="804"/>
      <c r="N733" s="804"/>
      <c r="O733" s="804"/>
      <c r="P733" s="788"/>
      <c r="Q733" s="788"/>
      <c r="R733" s="788"/>
      <c r="S733" s="788"/>
      <c r="T733" s="788"/>
      <c r="U733" s="794"/>
      <c r="V733" s="794"/>
      <c r="W733" s="794"/>
      <c r="X733" s="794"/>
      <c r="Y733" s="804"/>
      <c r="Z733" s="804"/>
      <c r="AA733" s="804"/>
      <c r="AB733" s="804"/>
      <c r="AC733" s="804"/>
      <c r="AD733" s="805"/>
      <c r="AE733" s="806"/>
      <c r="AF733" s="806"/>
      <c r="AG733" s="806"/>
      <c r="AH733" s="806"/>
      <c r="AI733" s="50"/>
      <c r="AJ733" s="50"/>
      <c r="AK733" s="50"/>
      <c r="AL733" s="72"/>
      <c r="AM733" s="72"/>
      <c r="BA733" s="72"/>
      <c r="BB733" s="72"/>
      <c r="BC733" s="72"/>
      <c r="BD733" s="72"/>
      <c r="BE733" s="72"/>
      <c r="BF733" s="72"/>
      <c r="BG733" s="1457">
        <f t="shared" si="29"/>
        <v>0</v>
      </c>
      <c r="BH733" s="1461">
        <f t="shared" si="30"/>
        <v>0</v>
      </c>
      <c r="BI733" s="1462" t="str">
        <f t="shared" si="31"/>
        <v xml:space="preserve"> </v>
      </c>
      <c r="BJ733" s="72"/>
      <c r="BK733" s="72"/>
      <c r="BL733" s="72"/>
      <c r="BM733" s="72"/>
      <c r="BN733" s="72"/>
      <c r="BO733" s="72"/>
      <c r="BP733" s="908" t="s">
        <v>890</v>
      </c>
      <c r="BQ733" s="907">
        <v>1224</v>
      </c>
      <c r="BR733" s="907">
        <v>1312</v>
      </c>
      <c r="BS733" s="907">
        <v>1574</v>
      </c>
      <c r="BT733" s="907">
        <v>1816</v>
      </c>
      <c r="BU733" s="907">
        <v>2026</v>
      </c>
      <c r="BV733" s="907">
        <v>2236</v>
      </c>
      <c r="BX733" s="72"/>
      <c r="BY733" s="72"/>
      <c r="BZ733" s="72"/>
      <c r="CA733" s="72"/>
      <c r="CB733" s="72"/>
      <c r="CC733" s="72"/>
      <c r="CD733" s="72"/>
      <c r="CE733" s="72"/>
      <c r="CF733" s="72"/>
      <c r="CG733" s="72"/>
      <c r="CH733" s="72"/>
      <c r="CI733" s="72"/>
      <c r="CJ733" s="72"/>
      <c r="CK733" s="72"/>
      <c r="CL733" s="72"/>
      <c r="CM733" s="72"/>
      <c r="CN733" s="72"/>
      <c r="CO733" s="72"/>
      <c r="CP733" s="72"/>
      <c r="CQ733" s="72"/>
      <c r="CR733" s="72"/>
      <c r="CS733" s="72"/>
    </row>
    <row r="734" spans="1:97" ht="13.2">
      <c r="B734" s="785"/>
      <c r="C734" s="786"/>
      <c r="D734" s="786"/>
      <c r="E734" s="786"/>
      <c r="F734" s="786"/>
      <c r="G734" s="789"/>
      <c r="H734" s="789"/>
      <c r="I734" s="789"/>
      <c r="J734" s="789"/>
      <c r="K734" s="786"/>
      <c r="L734" s="786"/>
      <c r="M734" s="786"/>
      <c r="N734" s="786"/>
      <c r="O734" s="786"/>
      <c r="P734" s="788"/>
      <c r="Q734" s="788"/>
      <c r="R734" s="788"/>
      <c r="S734" s="788"/>
      <c r="T734" s="788"/>
      <c r="U734" s="597"/>
      <c r="V734" s="597"/>
      <c r="W734" s="597"/>
      <c r="X734" s="597"/>
      <c r="Y734" s="786"/>
      <c r="Z734" s="786"/>
      <c r="AA734" s="786"/>
      <c r="AB734" s="597"/>
      <c r="AC734" s="597"/>
      <c r="AD734" s="597"/>
      <c r="AE734" s="597"/>
      <c r="AF734" s="597"/>
      <c r="AG734" s="791"/>
      <c r="AH734" s="791"/>
      <c r="AL734" s="72"/>
      <c r="AM734" s="72"/>
      <c r="BA734" s="72"/>
      <c r="BB734" s="72"/>
      <c r="BC734" s="72"/>
      <c r="BD734" s="72"/>
      <c r="BE734" s="72"/>
      <c r="BF734" s="72"/>
      <c r="BG734" s="1457">
        <f t="shared" si="29"/>
        <v>0</v>
      </c>
      <c r="BH734" s="1461">
        <f t="shared" si="30"/>
        <v>0</v>
      </c>
      <c r="BI734" s="1462" t="str">
        <f t="shared" si="31"/>
        <v xml:space="preserve"> </v>
      </c>
      <c r="BJ734" s="72"/>
      <c r="BK734" s="72"/>
      <c r="BL734" s="72"/>
      <c r="BM734" s="72"/>
      <c r="BN734" s="72"/>
      <c r="BO734" s="72"/>
      <c r="BP734" s="908" t="s">
        <v>891</v>
      </c>
      <c r="BQ734" s="907">
        <v>1620</v>
      </c>
      <c r="BR734" s="907">
        <v>1734</v>
      </c>
      <c r="BS734" s="907">
        <v>2082</v>
      </c>
      <c r="BT734" s="907">
        <v>2404</v>
      </c>
      <c r="BU734" s="907">
        <v>2682</v>
      </c>
      <c r="BV734" s="907">
        <v>2960</v>
      </c>
      <c r="BX734" s="72"/>
      <c r="BY734" s="72"/>
      <c r="BZ734" s="72"/>
      <c r="CA734" s="72"/>
      <c r="CB734" s="72"/>
      <c r="CC734" s="72"/>
      <c r="CD734" s="72"/>
      <c r="CE734" s="72"/>
      <c r="CF734" s="72"/>
      <c r="CG734" s="72"/>
      <c r="CH734" s="72"/>
      <c r="CI734" s="72"/>
      <c r="CJ734" s="72"/>
      <c r="CK734" s="72"/>
      <c r="CL734" s="72"/>
      <c r="CM734" s="72"/>
      <c r="CN734" s="72"/>
      <c r="CO734" s="72"/>
      <c r="CP734" s="72"/>
      <c r="CQ734" s="72"/>
      <c r="CR734" s="72"/>
      <c r="CS734" s="72"/>
    </row>
    <row r="735" spans="1:97" ht="13.2">
      <c r="A735" s="63" t="s">
        <v>8</v>
      </c>
      <c r="B735" s="785"/>
      <c r="C735" s="106" t="s">
        <v>398</v>
      </c>
      <c r="D735" s="105"/>
      <c r="E735" s="105"/>
      <c r="F735" s="105"/>
      <c r="G735" s="25"/>
      <c r="H735" s="25"/>
      <c r="I735" s="25"/>
      <c r="J735" s="25"/>
      <c r="K735" s="25"/>
      <c r="L735" s="105"/>
      <c r="M735" s="105"/>
      <c r="N735" s="105"/>
      <c r="O735" s="105"/>
      <c r="P735" s="105"/>
      <c r="Q735" s="25"/>
      <c r="R735" s="25"/>
      <c r="S735" s="25"/>
      <c r="T735" s="25"/>
      <c r="U735" s="25"/>
      <c r="AM735" s="72"/>
      <c r="BA735" s="72"/>
      <c r="BB735" s="72"/>
      <c r="BC735" s="72"/>
      <c r="BD735" s="72"/>
      <c r="BE735" s="72"/>
      <c r="BF735" s="72"/>
      <c r="BG735" s="1457">
        <f t="shared" si="29"/>
        <v>0</v>
      </c>
      <c r="BH735" s="1461">
        <f t="shared" si="30"/>
        <v>0</v>
      </c>
      <c r="BI735" s="1462" t="str">
        <f t="shared" si="31"/>
        <v xml:space="preserve"> </v>
      </c>
      <c r="BJ735" s="72"/>
      <c r="BK735" s="72"/>
      <c r="BL735" s="72"/>
      <c r="BM735" s="72"/>
      <c r="BN735" s="72"/>
      <c r="BO735" s="72"/>
      <c r="BP735" s="908" t="s">
        <v>927</v>
      </c>
      <c r="BQ735" s="907">
        <v>1990</v>
      </c>
      <c r="BR735" s="907">
        <v>2130</v>
      </c>
      <c r="BS735" s="907">
        <v>2556</v>
      </c>
      <c r="BT735" s="907">
        <v>2952</v>
      </c>
      <c r="BU735" s="907">
        <v>3294</v>
      </c>
      <c r="BV735" s="907">
        <v>3636</v>
      </c>
      <c r="BX735" s="72"/>
      <c r="BY735" s="72"/>
      <c r="BZ735" s="72"/>
      <c r="CA735" s="72"/>
      <c r="CB735" s="72"/>
      <c r="CC735" s="72"/>
      <c r="CD735" s="72"/>
      <c r="CE735" s="72"/>
      <c r="CF735" s="72"/>
      <c r="CG735" s="72"/>
      <c r="CH735" s="72"/>
      <c r="CI735" s="72"/>
      <c r="CJ735" s="72"/>
      <c r="CK735" s="72"/>
      <c r="CL735" s="72"/>
      <c r="CM735" s="72"/>
      <c r="CN735" s="72"/>
      <c r="CO735" s="72"/>
      <c r="CP735" s="72"/>
      <c r="CQ735" s="72"/>
      <c r="CR735" s="72"/>
      <c r="CS735" s="72"/>
    </row>
    <row r="736" spans="1:97" ht="13.2">
      <c r="B736" s="105"/>
      <c r="C736" s="1980" t="s">
        <v>1704</v>
      </c>
      <c r="D736" s="1980"/>
      <c r="E736" s="1980"/>
      <c r="F736" s="1980"/>
      <c r="G736" s="1980"/>
      <c r="H736" s="1980"/>
      <c r="I736" s="1980"/>
      <c r="J736" s="1980"/>
      <c r="K736" s="1980"/>
      <c r="L736" s="1980"/>
      <c r="M736" s="1980"/>
      <c r="N736" s="1980"/>
      <c r="O736" s="1980"/>
      <c r="P736" s="1980"/>
      <c r="Q736" s="1980"/>
      <c r="R736" s="1980"/>
      <c r="S736" s="1980"/>
      <c r="T736" s="1980"/>
      <c r="U736" s="1980"/>
      <c r="V736" s="1980"/>
      <c r="W736" s="1980"/>
      <c r="X736" s="1980"/>
      <c r="Y736" s="1980"/>
      <c r="Z736" s="1980"/>
      <c r="AA736" s="1980"/>
      <c r="AB736" s="1980"/>
      <c r="AC736" s="1980"/>
      <c r="AD736" s="1980"/>
      <c r="AE736" s="1980"/>
      <c r="AF736" s="1980"/>
      <c r="AG736" s="1980"/>
      <c r="AH736" s="1980"/>
      <c r="AI736" s="1980"/>
      <c r="AJ736" s="1980"/>
      <c r="AK736" s="1980"/>
      <c r="AM736" s="72"/>
      <c r="BA736" s="72"/>
      <c r="BB736" s="72"/>
      <c r="BC736" s="72"/>
      <c r="BD736" s="72"/>
      <c r="BE736" s="72"/>
      <c r="BF736" s="72"/>
      <c r="BG736" s="1457">
        <f t="shared" si="29"/>
        <v>0</v>
      </c>
      <c r="BH736" s="1461">
        <f t="shared" si="30"/>
        <v>0</v>
      </c>
      <c r="BI736" s="1462" t="str">
        <f t="shared" si="31"/>
        <v xml:space="preserve"> </v>
      </c>
      <c r="BJ736" s="72"/>
      <c r="BK736" s="72"/>
      <c r="BL736" s="72"/>
      <c r="BM736" s="72"/>
      <c r="BN736" s="72"/>
      <c r="BO736" s="72"/>
      <c r="BP736" s="908" t="s">
        <v>892</v>
      </c>
      <c r="BQ736" s="907">
        <v>1224</v>
      </c>
      <c r="BR736" s="907">
        <v>1312</v>
      </c>
      <c r="BS736" s="907">
        <v>1574</v>
      </c>
      <c r="BT736" s="907">
        <v>1816</v>
      </c>
      <c r="BU736" s="907">
        <v>2026</v>
      </c>
      <c r="BV736" s="907">
        <v>2236</v>
      </c>
      <c r="BX736" s="72"/>
      <c r="BY736" s="72"/>
      <c r="BZ736" s="72"/>
      <c r="CA736" s="72"/>
      <c r="CB736" s="72"/>
      <c r="CC736" s="72"/>
      <c r="CD736" s="72"/>
      <c r="CE736" s="72"/>
      <c r="CF736" s="72"/>
      <c r="CG736" s="72"/>
      <c r="CH736" s="72"/>
      <c r="CI736" s="72"/>
      <c r="CJ736" s="72"/>
      <c r="CK736" s="72"/>
      <c r="CL736" s="72"/>
      <c r="CM736" s="72"/>
      <c r="CN736" s="72"/>
      <c r="CO736" s="72"/>
      <c r="CP736" s="72"/>
      <c r="CQ736" s="72"/>
      <c r="CR736" s="72"/>
      <c r="CS736" s="72"/>
    </row>
    <row r="737" spans="1:97" ht="13.2">
      <c r="A737" s="63"/>
      <c r="B737" s="105"/>
      <c r="C737" s="1980"/>
      <c r="D737" s="1980"/>
      <c r="E737" s="1980"/>
      <c r="F737" s="1980"/>
      <c r="G737" s="1980"/>
      <c r="H737" s="1980"/>
      <c r="I737" s="1980"/>
      <c r="J737" s="1980"/>
      <c r="K737" s="1980"/>
      <c r="L737" s="1980"/>
      <c r="M737" s="1980"/>
      <c r="N737" s="1980"/>
      <c r="O737" s="1980"/>
      <c r="P737" s="1980"/>
      <c r="Q737" s="1980"/>
      <c r="R737" s="1980"/>
      <c r="S737" s="1980"/>
      <c r="T737" s="1980"/>
      <c r="U737" s="1980"/>
      <c r="V737" s="1980"/>
      <c r="W737" s="1980"/>
      <c r="X737" s="1980"/>
      <c r="Y737" s="1980"/>
      <c r="Z737" s="1980"/>
      <c r="AA737" s="1980"/>
      <c r="AB737" s="1980"/>
      <c r="AC737" s="1980"/>
      <c r="AD737" s="1980"/>
      <c r="AE737" s="1980"/>
      <c r="AF737" s="1980"/>
      <c r="AG737" s="1980"/>
      <c r="AH737" s="1980"/>
      <c r="AI737" s="1980"/>
      <c r="AJ737" s="1980"/>
      <c r="AK737" s="1980"/>
      <c r="AM737" s="72"/>
      <c r="BA737" s="72"/>
      <c r="BB737" s="72"/>
      <c r="BC737" s="72"/>
      <c r="BD737" s="72"/>
      <c r="BE737" s="72"/>
      <c r="BF737" s="72"/>
      <c r="BG737" s="1457">
        <f t="shared" si="29"/>
        <v>0</v>
      </c>
      <c r="BH737" s="1461">
        <f t="shared" si="30"/>
        <v>0</v>
      </c>
      <c r="BI737" s="1462" t="str">
        <f t="shared" si="31"/>
        <v xml:space="preserve"> </v>
      </c>
      <c r="BJ737" s="72"/>
      <c r="BK737" s="72"/>
      <c r="BL737" s="72"/>
      <c r="BM737" s="72"/>
      <c r="BN737" s="72"/>
      <c r="BO737" s="72"/>
      <c r="BP737" s="908" t="s">
        <v>893</v>
      </c>
      <c r="BQ737" s="907">
        <v>1224</v>
      </c>
      <c r="BR737" s="907">
        <v>1312</v>
      </c>
      <c r="BS737" s="907">
        <v>1574</v>
      </c>
      <c r="BT737" s="907">
        <v>1816</v>
      </c>
      <c r="BU737" s="907">
        <v>2026</v>
      </c>
      <c r="BV737" s="907">
        <v>2236</v>
      </c>
      <c r="BX737" s="72"/>
      <c r="BY737" s="72"/>
      <c r="BZ737" s="72"/>
      <c r="CA737" s="72"/>
      <c r="CB737" s="72"/>
      <c r="CC737" s="72"/>
      <c r="CD737" s="72"/>
      <c r="CE737" s="72"/>
      <c r="CF737" s="72"/>
      <c r="CG737" s="72"/>
      <c r="CH737" s="72"/>
      <c r="CI737" s="72"/>
      <c r="CJ737" s="72"/>
      <c r="CK737" s="72"/>
      <c r="CL737" s="72"/>
      <c r="CM737" s="72"/>
      <c r="CN737" s="72"/>
      <c r="CO737" s="72"/>
      <c r="CP737" s="72"/>
      <c r="CQ737" s="72"/>
      <c r="CR737" s="72"/>
      <c r="CS737" s="72"/>
    </row>
    <row r="738" spans="1:97" ht="13.65" customHeight="1">
      <c r="A738" s="63"/>
      <c r="B738" s="105"/>
      <c r="C738" s="1980"/>
      <c r="D738" s="1980"/>
      <c r="E738" s="1980"/>
      <c r="F738" s="1980"/>
      <c r="G738" s="1980"/>
      <c r="H738" s="1980"/>
      <c r="I738" s="1980"/>
      <c r="J738" s="1980"/>
      <c r="K738" s="1980"/>
      <c r="L738" s="1980"/>
      <c r="M738" s="1980"/>
      <c r="N738" s="1980"/>
      <c r="O738" s="1980"/>
      <c r="P738" s="1980"/>
      <c r="Q738" s="1980"/>
      <c r="R738" s="1980"/>
      <c r="S738" s="1980"/>
      <c r="T738" s="1980"/>
      <c r="U738" s="1980"/>
      <c r="V738" s="1980"/>
      <c r="W738" s="1980"/>
      <c r="X738" s="1980"/>
      <c r="Y738" s="1980"/>
      <c r="Z738" s="1980"/>
      <c r="AA738" s="1980"/>
      <c r="AB738" s="1980"/>
      <c r="AC738" s="1980"/>
      <c r="AD738" s="1980"/>
      <c r="AE738" s="1980"/>
      <c r="AF738" s="1980"/>
      <c r="AG738" s="1980"/>
      <c r="AH738" s="1980"/>
      <c r="AI738" s="1980"/>
      <c r="AJ738" s="1980"/>
      <c r="AK738" s="1980"/>
      <c r="AM738" s="72"/>
      <c r="BA738" s="72"/>
      <c r="BB738" s="72"/>
      <c r="BC738" s="72"/>
      <c r="BD738" s="72"/>
      <c r="BE738" s="72"/>
      <c r="BF738" s="72"/>
      <c r="BG738" s="1457">
        <f t="shared" si="29"/>
        <v>0</v>
      </c>
      <c r="BH738" s="1461">
        <f t="shared" si="30"/>
        <v>0</v>
      </c>
      <c r="BI738" s="1462" t="str">
        <f t="shared" si="31"/>
        <v xml:space="preserve"> </v>
      </c>
      <c r="BJ738" s="72"/>
      <c r="BK738" s="72"/>
      <c r="BL738" s="72"/>
      <c r="BM738" s="72"/>
      <c r="BN738" s="72"/>
      <c r="BO738" s="72"/>
      <c r="BP738" s="908" t="s">
        <v>894</v>
      </c>
      <c r="BQ738" s="907">
        <v>1224</v>
      </c>
      <c r="BR738" s="907">
        <v>1312</v>
      </c>
      <c r="BS738" s="907">
        <v>1574</v>
      </c>
      <c r="BT738" s="907">
        <v>1816</v>
      </c>
      <c r="BU738" s="907">
        <v>2026</v>
      </c>
      <c r="BV738" s="907">
        <v>2236</v>
      </c>
      <c r="BX738" s="72"/>
      <c r="BY738" s="72"/>
      <c r="BZ738" s="72"/>
      <c r="CA738" s="72"/>
      <c r="CB738" s="72"/>
      <c r="CC738" s="72"/>
      <c r="CD738" s="72"/>
      <c r="CE738" s="72"/>
      <c r="CF738" s="72"/>
      <c r="CG738" s="72"/>
      <c r="CH738" s="72"/>
      <c r="CI738" s="72"/>
      <c r="CJ738" s="72"/>
      <c r="CK738" s="72"/>
      <c r="CL738" s="72"/>
      <c r="CM738" s="72"/>
      <c r="CN738" s="72"/>
      <c r="CO738" s="72"/>
      <c r="CP738" s="72"/>
      <c r="CQ738" s="72"/>
      <c r="CR738" s="72"/>
      <c r="CS738" s="72"/>
    </row>
    <row r="739" spans="1:97" ht="13.2">
      <c r="A739" s="63"/>
      <c r="B739" s="105"/>
      <c r="C739" s="1980"/>
      <c r="D739" s="1980"/>
      <c r="E739" s="1980"/>
      <c r="F739" s="1980"/>
      <c r="G739" s="1980"/>
      <c r="H739" s="1980"/>
      <c r="I739" s="1980"/>
      <c r="J739" s="1980"/>
      <c r="K739" s="1980"/>
      <c r="L739" s="1980"/>
      <c r="M739" s="1980"/>
      <c r="N739" s="1980"/>
      <c r="O739" s="1980"/>
      <c r="P739" s="1980"/>
      <c r="Q739" s="1980"/>
      <c r="R739" s="1980"/>
      <c r="S739" s="1980"/>
      <c r="T739" s="1980"/>
      <c r="U739" s="1980"/>
      <c r="V739" s="1980"/>
      <c r="W739" s="1980"/>
      <c r="X739" s="1980"/>
      <c r="Y739" s="1980"/>
      <c r="Z739" s="1980"/>
      <c r="AA739" s="1980"/>
      <c r="AB739" s="1980"/>
      <c r="AC739" s="1980"/>
      <c r="AD739" s="1980"/>
      <c r="AE739" s="1980"/>
      <c r="AF739" s="1980"/>
      <c r="AG739" s="1980"/>
      <c r="AH739" s="1980"/>
      <c r="AI739" s="1980"/>
      <c r="AJ739" s="1980"/>
      <c r="AK739" s="1980"/>
      <c r="AM739" s="72"/>
      <c r="BA739" s="72"/>
      <c r="BB739" s="72"/>
      <c r="BC739" s="72"/>
      <c r="BD739" s="72"/>
      <c r="BE739" s="72"/>
      <c r="BF739" s="72"/>
      <c r="BG739" s="1457">
        <f t="shared" si="29"/>
        <v>0</v>
      </c>
      <c r="BH739" s="1461">
        <f t="shared" si="30"/>
        <v>0</v>
      </c>
      <c r="BI739" s="1462" t="str">
        <f t="shared" si="31"/>
        <v xml:space="preserve"> </v>
      </c>
      <c r="BJ739" s="72"/>
      <c r="BK739" s="72"/>
      <c r="BL739" s="72"/>
      <c r="BM739" s="72"/>
      <c r="BN739" s="72"/>
      <c r="BO739" s="72"/>
      <c r="BP739" s="908" t="s">
        <v>895</v>
      </c>
      <c r="BQ739" s="907">
        <v>1224</v>
      </c>
      <c r="BR739" s="907">
        <v>1312</v>
      </c>
      <c r="BS739" s="907">
        <v>1574</v>
      </c>
      <c r="BT739" s="907">
        <v>1816</v>
      </c>
      <c r="BU739" s="907">
        <v>2026</v>
      </c>
      <c r="BV739" s="907">
        <v>2236</v>
      </c>
      <c r="BX739" s="72"/>
      <c r="BY739" s="72"/>
      <c r="BZ739" s="72"/>
      <c r="CA739" s="72"/>
      <c r="CB739" s="72"/>
      <c r="CC739" s="72"/>
      <c r="CD739" s="72"/>
      <c r="CE739" s="72"/>
      <c r="CF739" s="72"/>
      <c r="CG739" s="72"/>
      <c r="CH739" s="72"/>
      <c r="CI739" s="72"/>
      <c r="CJ739" s="72"/>
      <c r="CK739" s="72"/>
      <c r="CL739" s="72"/>
      <c r="CM739" s="72"/>
      <c r="CN739" s="72"/>
      <c r="CO739" s="72"/>
      <c r="CP739" s="72"/>
      <c r="CQ739" s="72"/>
      <c r="CR739" s="72"/>
      <c r="CS739" s="72"/>
    </row>
    <row r="740" spans="1:97" ht="13.2">
      <c r="A740" s="63"/>
      <c r="B740" s="105"/>
      <c r="C740" s="1980"/>
      <c r="D740" s="1980"/>
      <c r="E740" s="1980"/>
      <c r="F740" s="1980"/>
      <c r="G740" s="1980"/>
      <c r="H740" s="1980"/>
      <c r="I740" s="1980"/>
      <c r="J740" s="1980"/>
      <c r="K740" s="1980"/>
      <c r="L740" s="1980"/>
      <c r="M740" s="1980"/>
      <c r="N740" s="1980"/>
      <c r="O740" s="1980"/>
      <c r="P740" s="1980"/>
      <c r="Q740" s="1980"/>
      <c r="R740" s="1980"/>
      <c r="S740" s="1980"/>
      <c r="T740" s="1980"/>
      <c r="U740" s="1980"/>
      <c r="V740" s="1980"/>
      <c r="W740" s="1980"/>
      <c r="X740" s="1980"/>
      <c r="Y740" s="1980"/>
      <c r="Z740" s="1980"/>
      <c r="AA740" s="1980"/>
      <c r="AB740" s="1980"/>
      <c r="AC740" s="1980"/>
      <c r="AD740" s="1980"/>
      <c r="AE740" s="1980"/>
      <c r="AF740" s="1980"/>
      <c r="AG740" s="1980"/>
      <c r="AH740" s="1980"/>
      <c r="AI740" s="1980"/>
      <c r="AJ740" s="1980"/>
      <c r="AK740" s="1980"/>
      <c r="AM740" s="72"/>
      <c r="BA740" s="72"/>
      <c r="BB740" s="72"/>
      <c r="BC740" s="72"/>
      <c r="BD740" s="72"/>
      <c r="BE740" s="72"/>
      <c r="BF740" s="72"/>
      <c r="BG740" s="1457">
        <f t="shared" si="29"/>
        <v>0</v>
      </c>
      <c r="BH740" s="1461">
        <f t="shared" si="30"/>
        <v>0</v>
      </c>
      <c r="BI740" s="1462" t="str">
        <f t="shared" si="31"/>
        <v xml:space="preserve"> </v>
      </c>
      <c r="BJ740" s="72"/>
      <c r="BK740" s="72"/>
      <c r="BL740" s="72"/>
      <c r="BM740" s="72"/>
      <c r="BN740" s="72"/>
      <c r="BO740" s="72"/>
      <c r="BP740" s="908" t="s">
        <v>896</v>
      </c>
      <c r="BQ740" s="907">
        <v>1224</v>
      </c>
      <c r="BR740" s="907">
        <v>1312</v>
      </c>
      <c r="BS740" s="907">
        <v>1574</v>
      </c>
      <c r="BT740" s="907">
        <v>1816</v>
      </c>
      <c r="BU740" s="907">
        <v>2026</v>
      </c>
      <c r="BV740" s="907">
        <v>2236</v>
      </c>
      <c r="BX740" s="72"/>
      <c r="BY740" s="72"/>
      <c r="BZ740" s="72"/>
      <c r="CA740" s="72"/>
      <c r="CB740" s="72"/>
      <c r="CC740" s="72"/>
      <c r="CD740" s="72"/>
      <c r="CE740" s="72"/>
      <c r="CF740" s="72"/>
      <c r="CG740" s="72"/>
      <c r="CH740" s="72"/>
      <c r="CI740" s="72"/>
      <c r="CJ740" s="72"/>
      <c r="CK740" s="72"/>
      <c r="CL740" s="72"/>
      <c r="CM740" s="72"/>
      <c r="CN740" s="72"/>
      <c r="CO740" s="72"/>
      <c r="CP740" s="72"/>
      <c r="CQ740" s="72"/>
      <c r="CR740" s="72"/>
      <c r="CS740" s="72"/>
    </row>
    <row r="741" spans="1:97" ht="13.2">
      <c r="A741" s="63"/>
      <c r="B741" s="105"/>
      <c r="C741" s="1980"/>
      <c r="D741" s="1980"/>
      <c r="E741" s="1980"/>
      <c r="F741" s="1980"/>
      <c r="G741" s="1980"/>
      <c r="H741" s="1980"/>
      <c r="I741" s="1980"/>
      <c r="J741" s="1980"/>
      <c r="K741" s="1980"/>
      <c r="L741" s="1980"/>
      <c r="M741" s="1980"/>
      <c r="N741" s="1980"/>
      <c r="O741" s="1980"/>
      <c r="P741" s="1980"/>
      <c r="Q741" s="1980"/>
      <c r="R741" s="1980"/>
      <c r="S741" s="1980"/>
      <c r="T741" s="1980"/>
      <c r="U741" s="1980"/>
      <c r="V741" s="1980"/>
      <c r="W741" s="1980"/>
      <c r="X741" s="1980"/>
      <c r="Y741" s="1980"/>
      <c r="Z741" s="1980"/>
      <c r="AA741" s="1980"/>
      <c r="AB741" s="1980"/>
      <c r="AC741" s="1980"/>
      <c r="AD741" s="1980"/>
      <c r="AE741" s="1980"/>
      <c r="AF741" s="1980"/>
      <c r="AG741" s="1980"/>
      <c r="AH741" s="1980"/>
      <c r="AI741" s="1980"/>
      <c r="AJ741" s="1980"/>
      <c r="AK741" s="1980"/>
      <c r="AM741" s="72"/>
      <c r="BA741" s="72"/>
      <c r="BB741" s="72"/>
      <c r="BC741" s="72"/>
      <c r="BD741" s="72"/>
      <c r="BE741" s="72"/>
      <c r="BF741" s="72"/>
      <c r="BG741" s="1457">
        <f t="shared" si="29"/>
        <v>0</v>
      </c>
      <c r="BH741" s="1461">
        <f t="shared" si="30"/>
        <v>0</v>
      </c>
      <c r="BI741" s="1462" t="str">
        <f t="shared" si="31"/>
        <v xml:space="preserve"> </v>
      </c>
      <c r="BJ741" s="72"/>
      <c r="BK741" s="72"/>
      <c r="BL741" s="72"/>
      <c r="BM741" s="72"/>
      <c r="BN741" s="72"/>
      <c r="BO741" s="72"/>
      <c r="BP741" s="908" t="s">
        <v>22</v>
      </c>
      <c r="BQ741" s="907">
        <v>1242</v>
      </c>
      <c r="BR741" s="907">
        <v>1330</v>
      </c>
      <c r="BS741" s="907">
        <v>1596</v>
      </c>
      <c r="BT741" s="907">
        <v>1842</v>
      </c>
      <c r="BU741" s="907">
        <v>2056</v>
      </c>
      <c r="BV741" s="907">
        <v>2270</v>
      </c>
      <c r="BX741" s="72"/>
      <c r="BY741" s="72"/>
      <c r="BZ741" s="72"/>
      <c r="CA741" s="72"/>
      <c r="CB741" s="72"/>
      <c r="CC741" s="72"/>
      <c r="CD741" s="72"/>
      <c r="CE741" s="72"/>
      <c r="CF741" s="72"/>
      <c r="CG741" s="72"/>
      <c r="CH741" s="72"/>
      <c r="CI741" s="72"/>
      <c r="CJ741" s="72"/>
      <c r="CK741" s="72"/>
      <c r="CL741" s="72"/>
      <c r="CM741" s="72"/>
      <c r="CN741" s="72"/>
      <c r="CO741" s="72"/>
      <c r="CP741" s="72"/>
      <c r="CQ741" s="72"/>
      <c r="CR741" s="72"/>
      <c r="CS741" s="72"/>
    </row>
    <row r="742" spans="1:97" ht="13.2">
      <c r="A742" s="63"/>
      <c r="B742" s="105"/>
      <c r="C742" s="1980"/>
      <c r="D742" s="1980"/>
      <c r="E742" s="1980"/>
      <c r="F742" s="1980"/>
      <c r="G742" s="1980"/>
      <c r="H742" s="1980"/>
      <c r="I742" s="1980"/>
      <c r="J742" s="1980"/>
      <c r="K742" s="1980"/>
      <c r="L742" s="1980"/>
      <c r="M742" s="1980"/>
      <c r="N742" s="1980"/>
      <c r="O742" s="1980"/>
      <c r="P742" s="1980"/>
      <c r="Q742" s="1980"/>
      <c r="R742" s="1980"/>
      <c r="S742" s="1980"/>
      <c r="T742" s="1980"/>
      <c r="U742" s="1980"/>
      <c r="V742" s="1980"/>
      <c r="W742" s="1980"/>
      <c r="X742" s="1980"/>
      <c r="Y742" s="1980"/>
      <c r="Z742" s="1980"/>
      <c r="AA742" s="1980"/>
      <c r="AB742" s="1980"/>
      <c r="AC742" s="1980"/>
      <c r="AD742" s="1980"/>
      <c r="AE742" s="1980"/>
      <c r="AF742" s="1980"/>
      <c r="AG742" s="1980"/>
      <c r="AH742" s="1980"/>
      <c r="AI742" s="1980"/>
      <c r="AJ742" s="1980"/>
      <c r="AK742" s="1980"/>
      <c r="AM742" s="72"/>
      <c r="BA742" s="72"/>
      <c r="BB742" s="72"/>
      <c r="BC742" s="72"/>
      <c r="BD742" s="72"/>
      <c r="BE742" s="72"/>
      <c r="BF742" s="72"/>
      <c r="BG742" s="1457">
        <f t="shared" si="29"/>
        <v>0</v>
      </c>
      <c r="BH742" s="1461">
        <f t="shared" si="30"/>
        <v>0</v>
      </c>
      <c r="BI742" s="1462" t="str">
        <f t="shared" si="31"/>
        <v xml:space="preserve"> </v>
      </c>
      <c r="BJ742" s="72"/>
      <c r="BK742" s="72"/>
      <c r="BL742" s="72"/>
      <c r="BM742" s="72"/>
      <c r="BN742" s="72"/>
      <c r="BO742" s="72"/>
      <c r="BP742" s="908" t="s">
        <v>897</v>
      </c>
      <c r="BQ742" s="907">
        <v>1976</v>
      </c>
      <c r="BR742" s="907">
        <v>2118</v>
      </c>
      <c r="BS742" s="907">
        <v>2542</v>
      </c>
      <c r="BT742" s="907">
        <v>2936</v>
      </c>
      <c r="BU742" s="907">
        <v>3274</v>
      </c>
      <c r="BV742" s="907">
        <v>3612</v>
      </c>
      <c r="BX742" s="72"/>
      <c r="BY742" s="72"/>
      <c r="BZ742" s="72"/>
      <c r="CA742" s="72"/>
      <c r="CB742" s="72"/>
      <c r="CC742" s="72"/>
      <c r="CD742" s="72"/>
      <c r="CE742" s="72"/>
      <c r="CF742" s="72"/>
      <c r="CG742" s="72"/>
      <c r="CH742" s="72"/>
      <c r="CI742" s="72"/>
      <c r="CJ742" s="72"/>
      <c r="CK742" s="72"/>
      <c r="CL742" s="72"/>
      <c r="CM742" s="72"/>
      <c r="CN742" s="72"/>
      <c r="CO742" s="72"/>
      <c r="CP742" s="72"/>
      <c r="CQ742" s="72"/>
      <c r="CR742" s="72"/>
      <c r="CS742" s="72"/>
    </row>
    <row r="743" spans="1:97" ht="13.2">
      <c r="B743" s="105"/>
      <c r="C743" s="1980"/>
      <c r="D743" s="1980"/>
      <c r="E743" s="1980"/>
      <c r="F743" s="1980"/>
      <c r="G743" s="1980"/>
      <c r="H743" s="1980"/>
      <c r="I743" s="1980"/>
      <c r="J743" s="1980"/>
      <c r="K743" s="1980"/>
      <c r="L743" s="1980"/>
      <c r="M743" s="1980"/>
      <c r="N743" s="1980"/>
      <c r="O743" s="1980"/>
      <c r="P743" s="1980"/>
      <c r="Q743" s="1980"/>
      <c r="R743" s="1980"/>
      <c r="S743" s="1980"/>
      <c r="T743" s="1980"/>
      <c r="U743" s="1980"/>
      <c r="V743" s="1980"/>
      <c r="W743" s="1980"/>
      <c r="X743" s="1980"/>
      <c r="Y743" s="1980"/>
      <c r="Z743" s="1980"/>
      <c r="AA743" s="1980"/>
      <c r="AB743" s="1980"/>
      <c r="AC743" s="1980"/>
      <c r="AD743" s="1980"/>
      <c r="AE743" s="1980"/>
      <c r="AF743" s="1980"/>
      <c r="AG743" s="1980"/>
      <c r="AH743" s="1980"/>
      <c r="AI743" s="1980"/>
      <c r="AJ743" s="1980"/>
      <c r="AK743" s="1980"/>
      <c r="AM743" s="72"/>
      <c r="BA743" s="72"/>
      <c r="BB743" s="72"/>
      <c r="BC743" s="72"/>
      <c r="BD743" s="72"/>
      <c r="BE743" s="72"/>
      <c r="BF743" s="72"/>
      <c r="BG743" s="1460">
        <f t="shared" si="29"/>
        <v>0</v>
      </c>
      <c r="BH743" s="1461">
        <f t="shared" si="30"/>
        <v>0</v>
      </c>
      <c r="BI743" s="1462" t="str">
        <f t="shared" si="31"/>
        <v xml:space="preserve"> </v>
      </c>
      <c r="BJ743" s="72"/>
      <c r="BK743" s="72"/>
      <c r="BL743" s="72"/>
      <c r="BM743" s="72"/>
      <c r="BN743" s="72"/>
      <c r="BO743" s="72"/>
      <c r="BP743" s="908" t="s">
        <v>898</v>
      </c>
      <c r="BQ743" s="907">
        <v>1620</v>
      </c>
      <c r="BR743" s="907">
        <v>1734</v>
      </c>
      <c r="BS743" s="907">
        <v>2082</v>
      </c>
      <c r="BT743" s="907">
        <v>2404</v>
      </c>
      <c r="BU743" s="907">
        <v>2682</v>
      </c>
      <c r="BV743" s="907">
        <v>2960</v>
      </c>
      <c r="BX743" s="72"/>
      <c r="BY743" s="72"/>
      <c r="BZ743" s="72"/>
      <c r="CA743" s="72"/>
      <c r="CB743" s="72"/>
      <c r="CC743" s="72"/>
      <c r="CD743" s="72"/>
      <c r="CE743" s="72"/>
      <c r="CF743" s="72"/>
      <c r="CG743" s="72"/>
      <c r="CH743" s="72"/>
      <c r="CI743" s="72"/>
      <c r="CJ743" s="72"/>
      <c r="CK743" s="72"/>
      <c r="CL743" s="72"/>
      <c r="CM743" s="72"/>
      <c r="CN743" s="72"/>
      <c r="CO743" s="72"/>
      <c r="CP743" s="72"/>
      <c r="CQ743" s="72"/>
      <c r="CR743" s="72"/>
      <c r="CS743" s="72"/>
    </row>
    <row r="744" spans="1:97" ht="13.2">
      <c r="B744" s="105"/>
      <c r="C744" s="1980"/>
      <c r="D744" s="1980"/>
      <c r="E744" s="1980"/>
      <c r="F744" s="1980"/>
      <c r="G744" s="1980"/>
      <c r="H744" s="1980"/>
      <c r="I744" s="1980"/>
      <c r="J744" s="1980"/>
      <c r="K744" s="1980"/>
      <c r="L744" s="1980"/>
      <c r="M744" s="1980"/>
      <c r="N744" s="1980"/>
      <c r="O744" s="1980"/>
      <c r="P744" s="1980"/>
      <c r="Q744" s="1980"/>
      <c r="R744" s="1980"/>
      <c r="S744" s="1980"/>
      <c r="T744" s="1980"/>
      <c r="U744" s="1980"/>
      <c r="V744" s="1980"/>
      <c r="W744" s="1980"/>
      <c r="X744" s="1980"/>
      <c r="Y744" s="1980"/>
      <c r="Z744" s="1980"/>
      <c r="AA744" s="1980"/>
      <c r="AB744" s="1980"/>
      <c r="AC744" s="1980"/>
      <c r="AD744" s="1980"/>
      <c r="AE744" s="1980"/>
      <c r="AF744" s="1980"/>
      <c r="AG744" s="1980"/>
      <c r="AH744" s="1980"/>
      <c r="AI744" s="1980"/>
      <c r="AJ744" s="1980"/>
      <c r="AK744" s="1980"/>
      <c r="AM744" s="72"/>
      <c r="BA744" s="72"/>
      <c r="BB744" s="72"/>
      <c r="BC744" s="72"/>
      <c r="BD744" s="72"/>
      <c r="BE744" s="72"/>
      <c r="BF744" s="72"/>
      <c r="BG744" s="1458">
        <f>SUM(BG719:BG743)</f>
        <v>40</v>
      </c>
      <c r="BH744" s="1459">
        <f>SUM(BH719:BH743)</f>
        <v>1.0000000000000002</v>
      </c>
      <c r="BI744" s="1459">
        <f>SUM(BI719:BI743)</f>
        <v>0.38755797172316908</v>
      </c>
      <c r="BJ744" s="72"/>
      <c r="BK744" s="72"/>
      <c r="BL744" s="72"/>
      <c r="BM744" s="72"/>
      <c r="BN744" s="72"/>
      <c r="BO744" s="72"/>
      <c r="BP744" s="908" t="s">
        <v>899</v>
      </c>
      <c r="BQ744" s="907">
        <v>1224</v>
      </c>
      <c r="BR744" s="907">
        <v>1312</v>
      </c>
      <c r="BS744" s="907">
        <v>1574</v>
      </c>
      <c r="BT744" s="907">
        <v>1816</v>
      </c>
      <c r="BU744" s="907">
        <v>2026</v>
      </c>
      <c r="BV744" s="907">
        <v>2236</v>
      </c>
      <c r="BX744" s="72"/>
      <c r="BY744" s="72"/>
      <c r="BZ744" s="72"/>
      <c r="CA744" s="72"/>
      <c r="CB744" s="72"/>
      <c r="CC744" s="72"/>
      <c r="CD744" s="72"/>
      <c r="CE744" s="72"/>
      <c r="CF744" s="72"/>
      <c r="CG744" s="72"/>
      <c r="CH744" s="72"/>
      <c r="CI744" s="72"/>
      <c r="CJ744" s="72"/>
      <c r="CK744" s="72"/>
      <c r="CL744" s="72"/>
      <c r="CM744" s="72"/>
      <c r="CN744" s="72"/>
      <c r="CO744" s="72"/>
      <c r="CP744" s="72"/>
      <c r="CQ744" s="72"/>
      <c r="CR744" s="72"/>
      <c r="CS744" s="72"/>
    </row>
    <row r="745" spans="1:97" ht="13.2">
      <c r="B745" s="105"/>
      <c r="C745" s="105"/>
      <c r="D745" s="105"/>
      <c r="E745" s="105"/>
      <c r="F745" s="105"/>
      <c r="G745" s="25"/>
      <c r="H745" s="25"/>
      <c r="I745" s="25"/>
      <c r="J745" s="25"/>
      <c r="K745" s="25"/>
      <c r="L745" s="105"/>
      <c r="M745" s="105"/>
      <c r="N745" s="105"/>
      <c r="O745" s="105"/>
      <c r="P745" s="105"/>
      <c r="Q745" s="25"/>
      <c r="R745" s="25"/>
      <c r="S745" s="25"/>
      <c r="T745" s="25"/>
      <c r="U745" s="25"/>
      <c r="AM745" s="72"/>
      <c r="BA745" s="72"/>
      <c r="BB745" s="72"/>
      <c r="BC745" s="72"/>
      <c r="BD745" s="72"/>
      <c r="BE745" s="72"/>
      <c r="BF745" s="72"/>
      <c r="BG745" s="72"/>
      <c r="BH745" s="72"/>
      <c r="BI745" s="72"/>
      <c r="BJ745" s="72"/>
      <c r="BK745" s="72"/>
      <c r="BL745" s="72"/>
      <c r="BM745" s="72"/>
      <c r="BN745" s="72"/>
      <c r="BO745" s="72"/>
      <c r="BP745" s="728"/>
      <c r="BQ745" s="502"/>
      <c r="BR745" s="729"/>
      <c r="BS745" s="729"/>
      <c r="BT745" s="729"/>
      <c r="BU745" s="729"/>
      <c r="BV745" s="729"/>
      <c r="BW745" s="729"/>
      <c r="BX745" s="72"/>
      <c r="BY745" s="72"/>
      <c r="BZ745" s="72"/>
      <c r="CA745" s="72"/>
      <c r="CB745" s="72"/>
      <c r="CC745" s="72"/>
      <c r="CD745" s="72"/>
      <c r="CE745" s="72"/>
      <c r="CF745" s="72"/>
      <c r="CG745" s="72"/>
      <c r="CH745" s="72"/>
      <c r="CI745" s="72"/>
      <c r="CJ745" s="72"/>
      <c r="CK745" s="72"/>
      <c r="CL745" s="72"/>
      <c r="CM745" s="72"/>
      <c r="CN745" s="72"/>
      <c r="CO745" s="72"/>
      <c r="CP745" s="72"/>
      <c r="CQ745" s="72"/>
      <c r="CR745" s="72"/>
      <c r="CS745" s="72"/>
    </row>
    <row r="746" spans="1:97" ht="12.75" customHeight="1">
      <c r="J746" s="1823" t="s">
        <v>59</v>
      </c>
      <c r="K746" s="1824"/>
      <c r="L746" s="1824"/>
      <c r="M746" s="1824"/>
      <c r="N746" s="1825"/>
      <c r="O746" s="2032" t="s">
        <v>284</v>
      </c>
      <c r="P746" s="2032"/>
      <c r="Q746" s="2032"/>
      <c r="R746" s="2032"/>
      <c r="S746" s="2032"/>
      <c r="T746" s="1817" t="s">
        <v>2296</v>
      </c>
      <c r="U746" s="1818"/>
      <c r="V746" s="1818"/>
      <c r="W746" s="1819"/>
      <c r="X746" s="1823" t="s">
        <v>655</v>
      </c>
      <c r="Y746" s="1824"/>
      <c r="Z746" s="1824"/>
      <c r="AA746" s="1824"/>
      <c r="AB746" s="1825"/>
      <c r="AC746" s="1823" t="s">
        <v>285</v>
      </c>
      <c r="AD746" s="1824"/>
      <c r="AE746" s="1824"/>
      <c r="AF746" s="1824"/>
      <c r="AG746" s="1825"/>
      <c r="AM746" s="72"/>
      <c r="BN746" s="72"/>
      <c r="BO746" s="72"/>
      <c r="BP746" s="72"/>
      <c r="BQ746" s="72"/>
      <c r="BR746" s="72"/>
      <c r="BS746" s="72"/>
      <c r="BT746" s="72"/>
      <c r="BU746" s="72"/>
      <c r="BV746" s="72"/>
      <c r="BW746" s="72"/>
      <c r="BX746" s="72"/>
      <c r="BY746" s="72"/>
      <c r="BZ746" s="72"/>
      <c r="CA746" s="72"/>
      <c r="CB746" s="72"/>
      <c r="CC746" s="72"/>
      <c r="CD746" s="72"/>
      <c r="CE746" s="72"/>
      <c r="CF746" s="72"/>
      <c r="CG746" s="72"/>
      <c r="CH746" s="72"/>
      <c r="CI746" s="72"/>
      <c r="CJ746" s="72"/>
      <c r="CK746" s="72"/>
      <c r="CL746" s="72"/>
      <c r="CM746" s="72"/>
      <c r="CN746" s="72"/>
      <c r="CO746" s="72"/>
      <c r="CP746" s="72"/>
      <c r="CQ746" s="72"/>
      <c r="CR746" s="72"/>
      <c r="CS746" s="72"/>
    </row>
    <row r="747" spans="1:97" ht="13.2">
      <c r="J747" s="1826"/>
      <c r="K747" s="1827"/>
      <c r="L747" s="1827"/>
      <c r="M747" s="1827"/>
      <c r="N747" s="1828"/>
      <c r="O747" s="2032"/>
      <c r="P747" s="2032"/>
      <c r="Q747" s="2032"/>
      <c r="R747" s="2032"/>
      <c r="S747" s="2032"/>
      <c r="T747" s="1820"/>
      <c r="U747" s="1821"/>
      <c r="V747" s="1821"/>
      <c r="W747" s="1822"/>
      <c r="X747" s="1826"/>
      <c r="Y747" s="1827"/>
      <c r="Z747" s="1827"/>
      <c r="AA747" s="1827"/>
      <c r="AB747" s="1828"/>
      <c r="AC747" s="1826"/>
      <c r="AD747" s="1827"/>
      <c r="AE747" s="1827"/>
      <c r="AF747" s="1827"/>
      <c r="AG747" s="1828"/>
      <c r="AM747" s="72"/>
      <c r="AN747" s="72"/>
      <c r="AO747" s="72"/>
      <c r="AP747" s="72"/>
      <c r="AQ747" s="72"/>
      <c r="AR747" s="72"/>
      <c r="AS747" s="72"/>
      <c r="AT747" s="72"/>
      <c r="AU747" s="72"/>
      <c r="AV747" s="72"/>
      <c r="AW747" s="72"/>
      <c r="AX747" s="72"/>
      <c r="AY747" s="72"/>
      <c r="AZ747" s="72"/>
      <c r="BA747" s="72"/>
      <c r="BB747" s="72"/>
      <c r="BC747" s="72"/>
      <c r="BD747" s="72"/>
      <c r="BE747" s="72"/>
      <c r="BF747" s="72"/>
      <c r="BG747" s="72"/>
      <c r="BH747" s="72"/>
      <c r="BI747" s="72"/>
      <c r="BJ747" s="72"/>
      <c r="BK747" s="72"/>
      <c r="BL747" s="72"/>
      <c r="BM747" s="72"/>
      <c r="BN747" s="72"/>
      <c r="BO747" s="72"/>
      <c r="BP747" s="72"/>
      <c r="BQ747" s="72"/>
      <c r="BR747" s="72"/>
      <c r="BS747" s="72"/>
      <c r="BT747" s="72"/>
      <c r="BU747" s="72"/>
      <c r="BV747" s="72"/>
      <c r="BW747" s="72"/>
      <c r="BX747" s="72"/>
      <c r="BY747" s="72"/>
      <c r="BZ747" s="72"/>
      <c r="CA747" s="72"/>
      <c r="CB747" s="72"/>
      <c r="CC747" s="72"/>
      <c r="CD747" s="72"/>
      <c r="CE747" s="72"/>
      <c r="CF747" s="72"/>
      <c r="CG747" s="72"/>
      <c r="CH747" s="72"/>
      <c r="CI747" s="72"/>
      <c r="CJ747" s="72"/>
      <c r="CK747" s="72"/>
      <c r="CL747" s="72"/>
      <c r="CM747" s="72"/>
      <c r="CN747" s="72"/>
      <c r="CO747" s="72"/>
      <c r="CP747" s="72"/>
      <c r="CQ747" s="72"/>
      <c r="CR747" s="72"/>
      <c r="CS747" s="72"/>
    </row>
    <row r="748" spans="1:97" ht="13.2">
      <c r="J748" s="1826"/>
      <c r="K748" s="1827"/>
      <c r="L748" s="1827"/>
      <c r="M748" s="1827"/>
      <c r="N748" s="1828"/>
      <c r="O748" s="2032"/>
      <c r="P748" s="2032"/>
      <c r="Q748" s="2032"/>
      <c r="R748" s="2032"/>
      <c r="S748" s="2032"/>
      <c r="T748" s="1820"/>
      <c r="U748" s="1821"/>
      <c r="V748" s="1821"/>
      <c r="W748" s="1822"/>
      <c r="X748" s="1826"/>
      <c r="Y748" s="1827"/>
      <c r="Z748" s="1827"/>
      <c r="AA748" s="1827"/>
      <c r="AB748" s="1828"/>
      <c r="AC748" s="1826"/>
      <c r="AD748" s="1827"/>
      <c r="AE748" s="1827"/>
      <c r="AF748" s="1827"/>
      <c r="AG748" s="1828"/>
      <c r="AM748" s="72"/>
      <c r="AN748" s="72"/>
      <c r="AO748" s="72"/>
      <c r="AP748" s="72"/>
      <c r="AQ748" s="72"/>
      <c r="AR748" s="72"/>
      <c r="AS748" s="72"/>
      <c r="AT748" s="72"/>
      <c r="AU748" s="72"/>
      <c r="AV748" s="72"/>
      <c r="AW748" s="72"/>
      <c r="AX748" s="72"/>
      <c r="AY748" s="72"/>
      <c r="AZ748" s="72"/>
      <c r="BA748" s="72"/>
      <c r="BB748" s="72"/>
      <c r="BC748" s="72"/>
      <c r="BD748" s="72"/>
      <c r="BE748" s="72"/>
      <c r="BF748" s="72"/>
      <c r="BG748" s="72"/>
      <c r="BH748" s="72"/>
      <c r="BI748" s="72"/>
      <c r="BJ748" s="72"/>
      <c r="BK748" s="72"/>
      <c r="BL748" s="72"/>
      <c r="BM748" s="72"/>
      <c r="BN748" s="72"/>
      <c r="BO748" s="72"/>
      <c r="BP748" s="72"/>
      <c r="BQ748" s="72"/>
      <c r="BR748" s="72"/>
      <c r="BS748" s="72"/>
      <c r="BT748" s="72"/>
      <c r="BU748" s="72"/>
      <c r="BV748" s="72"/>
      <c r="BW748" s="72"/>
      <c r="BX748" s="72"/>
      <c r="BY748" s="72"/>
      <c r="BZ748" s="72"/>
      <c r="CA748" s="72"/>
      <c r="CB748" s="72"/>
      <c r="CC748" s="72"/>
      <c r="CD748" s="72"/>
      <c r="CE748" s="72"/>
      <c r="CF748" s="72"/>
      <c r="CG748" s="72"/>
      <c r="CH748" s="72"/>
      <c r="CI748" s="72"/>
      <c r="CJ748" s="72"/>
      <c r="CK748" s="72"/>
      <c r="CL748" s="72"/>
      <c r="CM748" s="72"/>
      <c r="CN748" s="72"/>
      <c r="CO748" s="72"/>
      <c r="CP748" s="72"/>
      <c r="CQ748" s="72"/>
      <c r="CR748" s="72"/>
      <c r="CS748" s="72"/>
    </row>
    <row r="749" spans="1:97" ht="13.2">
      <c r="J749" s="1829"/>
      <c r="K749" s="1830"/>
      <c r="L749" s="1830"/>
      <c r="M749" s="1830"/>
      <c r="N749" s="1831"/>
      <c r="O749" s="2032"/>
      <c r="P749" s="2032"/>
      <c r="Q749" s="2032"/>
      <c r="R749" s="2032"/>
      <c r="S749" s="2032"/>
      <c r="T749" s="2000"/>
      <c r="U749" s="2001"/>
      <c r="V749" s="2001"/>
      <c r="W749" s="2002"/>
      <c r="X749" s="1829"/>
      <c r="Y749" s="1830"/>
      <c r="Z749" s="1830"/>
      <c r="AA749" s="1830"/>
      <c r="AB749" s="1831"/>
      <c r="AC749" s="1829"/>
      <c r="AD749" s="1830"/>
      <c r="AE749" s="1830"/>
      <c r="AF749" s="1830"/>
      <c r="AG749" s="1831"/>
      <c r="AM749" s="72"/>
      <c r="AN749" s="72"/>
      <c r="AO749" s="72"/>
      <c r="AP749" s="72"/>
      <c r="AQ749" s="72"/>
      <c r="AR749" s="72"/>
      <c r="AS749" s="72"/>
      <c r="AT749" s="72"/>
      <c r="AU749" s="72"/>
      <c r="AV749" s="72"/>
      <c r="AW749" s="72"/>
      <c r="AX749" s="72"/>
      <c r="AY749" s="72"/>
      <c r="AZ749" s="72"/>
      <c r="BA749" s="72"/>
      <c r="BB749" s="72"/>
      <c r="BC749" s="72"/>
      <c r="BD749" s="72"/>
      <c r="BE749" s="72"/>
      <c r="BF749" s="72"/>
      <c r="BG749" s="72"/>
      <c r="BH749" s="72"/>
      <c r="BI749" s="72"/>
      <c r="BJ749" s="72"/>
      <c r="BK749" s="72"/>
      <c r="BL749" s="72"/>
      <c r="BM749" s="72"/>
      <c r="BN749" s="72"/>
      <c r="BO749" s="72"/>
      <c r="BP749" s="72"/>
      <c r="BQ749" s="72"/>
      <c r="BR749" s="72"/>
      <c r="BS749" s="72"/>
      <c r="BT749" s="72"/>
      <c r="BU749" s="72"/>
      <c r="BV749" s="72"/>
      <c r="BW749" s="72"/>
      <c r="BX749" s="72"/>
      <c r="BY749" s="72"/>
      <c r="BZ749" s="72"/>
      <c r="CA749" s="72"/>
      <c r="CB749" s="72"/>
      <c r="CC749" s="72"/>
      <c r="CD749" s="72"/>
      <c r="CE749" s="72"/>
      <c r="CF749" s="72"/>
      <c r="CG749" s="72"/>
      <c r="CH749" s="72"/>
      <c r="CI749" s="72"/>
      <c r="CJ749" s="72"/>
      <c r="CK749" s="72"/>
      <c r="CL749" s="72"/>
      <c r="CM749" s="72"/>
      <c r="CN749" s="72"/>
      <c r="CO749" s="72"/>
      <c r="CP749" s="72"/>
      <c r="CQ749" s="72"/>
      <c r="CR749" s="72"/>
      <c r="CS749" s="72"/>
    </row>
    <row r="750" spans="1:97" ht="13.2">
      <c r="J750" s="1775" t="s">
        <v>854</v>
      </c>
      <c r="K750" s="1776"/>
      <c r="L750" s="1776"/>
      <c r="M750" s="1776"/>
      <c r="N750" s="1777"/>
      <c r="O750" s="1778">
        <v>1</v>
      </c>
      <c r="P750" s="1778"/>
      <c r="Q750" s="1778"/>
      <c r="R750" s="1778"/>
      <c r="S750" s="1778"/>
      <c r="T750" s="1764">
        <v>1066</v>
      </c>
      <c r="U750" s="1765"/>
      <c r="V750" s="1765"/>
      <c r="W750" s="1766"/>
      <c r="X750" s="1767">
        <v>0</v>
      </c>
      <c r="Y750" s="1768"/>
      <c r="Z750" s="1768"/>
      <c r="AA750" s="1768"/>
      <c r="AB750" s="1769"/>
      <c r="AC750" s="1770">
        <f>X750*O750</f>
        <v>0</v>
      </c>
      <c r="AD750" s="1771"/>
      <c r="AE750" s="1771"/>
      <c r="AF750" s="1771"/>
      <c r="AG750" s="1772"/>
      <c r="AM750" s="72"/>
      <c r="AN750" s="72"/>
      <c r="AO750" s="72"/>
      <c r="AP750" s="72"/>
      <c r="AQ750" s="72"/>
      <c r="AR750" s="72"/>
      <c r="AS750" s="72"/>
      <c r="AT750" s="72"/>
      <c r="AU750" s="72"/>
      <c r="AV750" s="72"/>
      <c r="AW750" s="72"/>
      <c r="AX750" s="72"/>
      <c r="AY750" s="72"/>
      <c r="AZ750" s="72"/>
      <c r="BA750" s="72"/>
      <c r="BB750" s="72"/>
      <c r="BC750" s="72"/>
      <c r="BD750" s="72"/>
      <c r="BE750" s="72"/>
      <c r="BF750" s="72"/>
      <c r="BG750" s="72"/>
      <c r="BH750" s="72"/>
      <c r="BI750" s="72"/>
      <c r="BJ750" s="72"/>
      <c r="BK750" s="72"/>
      <c r="BL750" s="72"/>
      <c r="BM750" s="72"/>
      <c r="BN750" s="72"/>
      <c r="BO750" s="72"/>
      <c r="BP750" s="72"/>
      <c r="BQ750" s="72"/>
      <c r="BR750" s="72"/>
      <c r="BS750" s="72"/>
      <c r="BT750" s="72"/>
      <c r="BU750" s="72"/>
      <c r="BV750" s="72"/>
      <c r="BW750" s="72"/>
      <c r="BX750" s="72"/>
      <c r="BY750" s="72"/>
      <c r="BZ750" s="72"/>
      <c r="CA750" s="72"/>
      <c r="CB750" s="72"/>
      <c r="CC750" s="72"/>
      <c r="CD750" s="72"/>
      <c r="CE750" s="72"/>
      <c r="CF750" s="72"/>
      <c r="CG750" s="72"/>
      <c r="CH750" s="72"/>
      <c r="CI750" s="72"/>
      <c r="CJ750" s="72"/>
      <c r="CK750" s="72"/>
      <c r="CL750" s="72"/>
      <c r="CM750" s="72"/>
      <c r="CN750" s="72"/>
      <c r="CO750" s="72"/>
      <c r="CP750" s="72"/>
      <c r="CQ750" s="72"/>
      <c r="CR750" s="72"/>
      <c r="CS750" s="72"/>
    </row>
    <row r="751" spans="1:97" ht="13.2">
      <c r="J751" s="1775"/>
      <c r="K751" s="1776"/>
      <c r="L751" s="1776"/>
      <c r="M751" s="1776"/>
      <c r="N751" s="1777"/>
      <c r="O751" s="1778"/>
      <c r="P751" s="1778"/>
      <c r="Q751" s="1778"/>
      <c r="R751" s="1778"/>
      <c r="S751" s="1778"/>
      <c r="T751" s="1764"/>
      <c r="U751" s="1765"/>
      <c r="V751" s="1765"/>
      <c r="W751" s="1766"/>
      <c r="X751" s="1767"/>
      <c r="Y751" s="1768"/>
      <c r="Z751" s="1768"/>
      <c r="AA751" s="1768"/>
      <c r="AB751" s="1769"/>
      <c r="AC751" s="1770">
        <f>X751*O751</f>
        <v>0</v>
      </c>
      <c r="AD751" s="1771"/>
      <c r="AE751" s="1771"/>
      <c r="AF751" s="1771"/>
      <c r="AG751" s="1772"/>
      <c r="AM751" s="72"/>
      <c r="AN751" s="72"/>
      <c r="AO751" s="72"/>
      <c r="AP751" s="72"/>
      <c r="AQ751" s="72"/>
      <c r="AR751" s="72"/>
      <c r="AS751" s="72"/>
      <c r="AT751" s="72"/>
      <c r="AU751" s="72"/>
      <c r="AV751" s="72"/>
      <c r="AW751" s="72"/>
      <c r="AX751" s="72"/>
      <c r="AY751" s="72"/>
      <c r="AZ751" s="72"/>
      <c r="BA751" s="72"/>
      <c r="BB751" s="72"/>
      <c r="BC751" s="72"/>
      <c r="BD751" s="72"/>
      <c r="BE751" s="72"/>
      <c r="BF751" s="72"/>
      <c r="BG751" s="72"/>
      <c r="BH751" s="72"/>
      <c r="BI751" s="72"/>
      <c r="BJ751" s="72"/>
      <c r="BK751" s="72"/>
      <c r="BL751" s="72"/>
      <c r="BM751" s="72"/>
      <c r="BN751" s="72"/>
      <c r="BO751" s="72"/>
      <c r="BP751" s="72"/>
      <c r="BQ751" s="72"/>
      <c r="BR751" s="72"/>
      <c r="BS751" s="72"/>
      <c r="BT751" s="72"/>
      <c r="BU751" s="72"/>
      <c r="BV751" s="72"/>
      <c r="BW751" s="72"/>
      <c r="BX751" s="72"/>
      <c r="BY751" s="72"/>
      <c r="BZ751" s="72"/>
      <c r="CA751" s="72"/>
      <c r="CB751" s="72"/>
      <c r="CC751" s="72"/>
      <c r="CD751" s="72"/>
      <c r="CE751" s="72"/>
      <c r="CF751" s="72"/>
      <c r="CG751" s="72"/>
      <c r="CH751" s="72"/>
      <c r="CI751" s="72"/>
      <c r="CJ751" s="72"/>
      <c r="CK751" s="72"/>
      <c r="CL751" s="72"/>
      <c r="CM751" s="72"/>
      <c r="CN751" s="72"/>
      <c r="CO751" s="72"/>
      <c r="CP751" s="72"/>
      <c r="CQ751" s="72"/>
      <c r="CR751" s="72"/>
      <c r="CS751" s="72"/>
    </row>
    <row r="752" spans="1:97" ht="13.2">
      <c r="J752" s="1775"/>
      <c r="K752" s="1776"/>
      <c r="L752" s="1776"/>
      <c r="M752" s="1776"/>
      <c r="N752" s="1777"/>
      <c r="O752" s="1778"/>
      <c r="P752" s="1778"/>
      <c r="Q752" s="1778"/>
      <c r="R752" s="1778"/>
      <c r="S752" s="1778"/>
      <c r="T752" s="1764"/>
      <c r="U752" s="1765"/>
      <c r="V752" s="1765"/>
      <c r="W752" s="1766"/>
      <c r="X752" s="1767"/>
      <c r="Y752" s="1768"/>
      <c r="Z752" s="1768"/>
      <c r="AA752" s="1768"/>
      <c r="AB752" s="1769"/>
      <c r="AC752" s="1770">
        <f>X752*O752</f>
        <v>0</v>
      </c>
      <c r="AD752" s="1771"/>
      <c r="AE752" s="1771"/>
      <c r="AF752" s="1771"/>
      <c r="AG752" s="1772"/>
      <c r="AM752" s="72"/>
      <c r="AN752" s="72"/>
      <c r="AO752" s="72"/>
      <c r="AP752" s="72"/>
      <c r="AQ752" s="72"/>
      <c r="AR752" s="72"/>
      <c r="AS752" s="72"/>
      <c r="AT752" s="72"/>
      <c r="AU752" s="72"/>
      <c r="AV752" s="72"/>
      <c r="AW752" s="72"/>
      <c r="AX752" s="72"/>
      <c r="AY752" s="72"/>
      <c r="AZ752" s="72"/>
      <c r="BA752" s="72"/>
      <c r="BB752" s="72"/>
      <c r="BC752" s="72"/>
      <c r="BD752" s="72"/>
      <c r="BE752" s="72"/>
      <c r="BF752" s="72"/>
      <c r="BG752" s="72"/>
      <c r="BH752" s="72"/>
      <c r="BI752" s="72"/>
      <c r="BJ752" s="72"/>
      <c r="BK752" s="72"/>
      <c r="BL752" s="72"/>
      <c r="BM752" s="72"/>
      <c r="BN752" s="72"/>
      <c r="BO752" s="72"/>
      <c r="BP752" s="72"/>
      <c r="BQ752" s="72"/>
      <c r="BR752" s="72"/>
      <c r="BS752" s="72"/>
      <c r="BT752" s="72"/>
      <c r="BU752" s="72"/>
      <c r="BV752" s="72"/>
      <c r="BW752" s="72"/>
      <c r="BX752" s="72"/>
      <c r="BY752" s="72"/>
      <c r="BZ752" s="72"/>
      <c r="CA752" s="72"/>
      <c r="CB752" s="72"/>
      <c r="CC752" s="72"/>
      <c r="CD752" s="72"/>
      <c r="CE752" s="72"/>
      <c r="CF752" s="72"/>
      <c r="CG752" s="72"/>
      <c r="CH752" s="72"/>
      <c r="CI752" s="72"/>
      <c r="CJ752" s="72"/>
      <c r="CK752" s="72"/>
      <c r="CL752" s="72"/>
      <c r="CM752" s="72"/>
      <c r="CN752" s="72"/>
      <c r="CO752" s="72"/>
      <c r="CP752" s="72"/>
      <c r="CQ752" s="72"/>
      <c r="CR752" s="72"/>
      <c r="CS752" s="72"/>
    </row>
    <row r="753" spans="1:97" ht="13.2">
      <c r="J753" s="1775"/>
      <c r="K753" s="1776"/>
      <c r="L753" s="1776"/>
      <c r="M753" s="1776"/>
      <c r="N753" s="1777"/>
      <c r="O753" s="1778"/>
      <c r="P753" s="1778"/>
      <c r="Q753" s="1778"/>
      <c r="R753" s="1778"/>
      <c r="S753" s="1778"/>
      <c r="T753" s="1764"/>
      <c r="U753" s="1765"/>
      <c r="V753" s="1765"/>
      <c r="W753" s="1766"/>
      <c r="X753" s="1767"/>
      <c r="Y753" s="1768"/>
      <c r="Z753" s="1768"/>
      <c r="AA753" s="1768"/>
      <c r="AB753" s="1769"/>
      <c r="AC753" s="1770">
        <f>X753*O753</f>
        <v>0</v>
      </c>
      <c r="AD753" s="1771"/>
      <c r="AE753" s="1771"/>
      <c r="AF753" s="1771"/>
      <c r="AG753" s="1772"/>
      <c r="AM753" s="72"/>
      <c r="AN753" s="72"/>
      <c r="AO753" s="72"/>
      <c r="AP753" s="72"/>
      <c r="AQ753" s="72"/>
      <c r="AR753" s="72"/>
      <c r="AS753" s="72"/>
      <c r="AT753" s="72"/>
      <c r="AU753" s="72"/>
      <c r="AV753" s="72"/>
      <c r="AW753" s="72"/>
      <c r="AX753" s="72"/>
      <c r="AY753" s="72"/>
      <c r="AZ753" s="72"/>
      <c r="BA753" s="72"/>
      <c r="BB753" s="72"/>
      <c r="BC753" s="72"/>
      <c r="BD753" s="72"/>
      <c r="BE753" s="72"/>
      <c r="BF753" s="72"/>
      <c r="BG753" s="72"/>
      <c r="BH753" s="72"/>
      <c r="BI753" s="72"/>
      <c r="BJ753" s="72"/>
      <c r="BK753" s="72"/>
      <c r="BL753" s="72"/>
      <c r="BM753" s="72"/>
      <c r="BN753" s="72"/>
      <c r="BO753" s="72"/>
      <c r="BP753" s="72"/>
      <c r="BQ753" s="72"/>
      <c r="BR753" s="72"/>
      <c r="BS753" s="72"/>
      <c r="BT753" s="72"/>
      <c r="BU753" s="72"/>
      <c r="BV753" s="72"/>
      <c r="BW753" s="72"/>
      <c r="BX753" s="72"/>
      <c r="BY753" s="72"/>
      <c r="BZ753" s="72"/>
      <c r="CA753" s="72"/>
      <c r="CB753" s="72"/>
      <c r="CC753" s="72"/>
      <c r="CD753" s="72"/>
      <c r="CE753" s="72"/>
      <c r="CF753" s="72"/>
      <c r="CG753" s="72"/>
      <c r="CH753" s="72"/>
      <c r="CI753" s="72"/>
      <c r="CJ753" s="72"/>
      <c r="CK753" s="72"/>
      <c r="CL753" s="72"/>
      <c r="CM753" s="72"/>
      <c r="CN753" s="72"/>
      <c r="CO753" s="72"/>
      <c r="CP753" s="72"/>
      <c r="CQ753" s="72"/>
      <c r="CR753" s="72"/>
      <c r="CS753" s="72"/>
    </row>
    <row r="754" spans="1:97" ht="13.2">
      <c r="J754" s="1848" t="s">
        <v>976</v>
      </c>
      <c r="K754" s="1849"/>
      <c r="L754" s="1849"/>
      <c r="M754" s="1849"/>
      <c r="N754" s="1851"/>
      <c r="O754" s="2029">
        <f>SUM(O750:S753)</f>
        <v>1</v>
      </c>
      <c r="P754" s="2030"/>
      <c r="Q754" s="2030"/>
      <c r="R754" s="2030"/>
      <c r="S754" s="2031"/>
      <c r="X754" s="1995" t="s">
        <v>975</v>
      </c>
      <c r="Y754" s="1996"/>
      <c r="Z754" s="1996"/>
      <c r="AA754" s="1996"/>
      <c r="AB754" s="1997"/>
      <c r="AC754" s="1770">
        <f>SUM(AC750:AG753)</f>
        <v>0</v>
      </c>
      <c r="AD754" s="1771"/>
      <c r="AE754" s="1771"/>
      <c r="AF754" s="1771"/>
      <c r="AG754" s="1772"/>
      <c r="AM754" s="72"/>
      <c r="AN754" s="72"/>
      <c r="AO754" s="72"/>
      <c r="AP754" s="72"/>
      <c r="AQ754" s="72"/>
      <c r="AR754" s="72"/>
      <c r="AS754" s="72"/>
      <c r="AT754" s="72"/>
      <c r="AU754" s="72"/>
      <c r="AV754" s="72"/>
      <c r="AW754" s="72"/>
      <c r="AX754" s="72"/>
      <c r="AY754" s="72"/>
      <c r="AZ754" s="72"/>
      <c r="BA754" s="72"/>
      <c r="BB754" s="72"/>
      <c r="BC754" s="72"/>
      <c r="BD754" s="72"/>
      <c r="BE754" s="72"/>
      <c r="BF754" s="72"/>
      <c r="BG754" s="72"/>
      <c r="BH754" s="72"/>
      <c r="BI754" s="72"/>
      <c r="BJ754" s="72"/>
      <c r="BK754" s="72"/>
      <c r="BL754" s="72"/>
      <c r="BM754" s="72"/>
      <c r="BN754" s="72"/>
      <c r="BO754" s="72"/>
      <c r="BP754" s="72"/>
      <c r="BQ754" s="72"/>
      <c r="BR754" s="72"/>
      <c r="BS754" s="72"/>
      <c r="BT754" s="72"/>
      <c r="BU754" s="72"/>
      <c r="BV754" s="72"/>
      <c r="BW754" s="72"/>
      <c r="BX754" s="72"/>
      <c r="BY754" s="72"/>
      <c r="BZ754" s="72"/>
      <c r="CA754" s="72"/>
      <c r="CB754" s="72"/>
      <c r="CC754" s="72"/>
      <c r="CD754" s="72"/>
      <c r="CE754" s="72"/>
      <c r="CF754" s="72"/>
      <c r="CG754" s="72"/>
      <c r="CH754" s="72"/>
      <c r="CI754" s="72"/>
      <c r="CJ754" s="72"/>
      <c r="CK754" s="72"/>
      <c r="CL754" s="72"/>
      <c r="CM754" s="72"/>
      <c r="CN754" s="72"/>
      <c r="CO754" s="72"/>
      <c r="CP754" s="72"/>
      <c r="CQ754" s="72"/>
      <c r="CR754" s="72"/>
      <c r="CS754" s="72"/>
    </row>
    <row r="755" spans="1:97" ht="13.2">
      <c r="J755" s="103"/>
      <c r="K755" s="103"/>
      <c r="L755" s="103"/>
      <c r="M755" s="103"/>
      <c r="N755" s="103"/>
      <c r="O755" s="25"/>
      <c r="P755" s="25"/>
      <c r="Q755" s="25"/>
      <c r="R755" s="25"/>
      <c r="S755" s="25"/>
      <c r="T755" s="105"/>
      <c r="U755" s="105"/>
      <c r="V755" s="105"/>
      <c r="W755" s="105"/>
      <c r="X755" s="105"/>
      <c r="Y755" s="468"/>
      <c r="Z755" s="469"/>
      <c r="AA755" s="469"/>
      <c r="AB755" s="469"/>
      <c r="AC755" s="469"/>
      <c r="AM755" s="72"/>
      <c r="AN755" s="72"/>
      <c r="AO755" s="72"/>
      <c r="AP755" s="72"/>
      <c r="AQ755" s="72"/>
      <c r="AR755" s="72"/>
      <c r="AS755" s="72"/>
      <c r="AT755" s="72"/>
      <c r="AU755" s="72"/>
      <c r="AV755" s="72"/>
      <c r="AW755" s="72"/>
      <c r="AX755" s="72"/>
      <c r="AY755" s="72"/>
      <c r="AZ755" s="72"/>
      <c r="BA755" s="72"/>
      <c r="BB755" s="72"/>
      <c r="BC755" s="72"/>
      <c r="BD755" s="72"/>
      <c r="BE755" s="72"/>
      <c r="BF755" s="72"/>
      <c r="BG755" s="72"/>
      <c r="BH755" s="72"/>
      <c r="BI755" s="72"/>
      <c r="BJ755" s="72"/>
      <c r="BK755" s="72"/>
      <c r="BL755" s="72"/>
      <c r="BM755" s="72"/>
      <c r="BN755" s="72"/>
      <c r="BO755" s="72"/>
      <c r="BP755" s="72"/>
      <c r="BQ755" s="72"/>
      <c r="BR755" s="72"/>
      <c r="BS755" s="72"/>
      <c r="BT755" s="72"/>
      <c r="BU755" s="72"/>
      <c r="BV755" s="72"/>
      <c r="BW755" s="72"/>
      <c r="BX755" s="72"/>
      <c r="BY755" s="72"/>
      <c r="BZ755" s="72"/>
      <c r="CA755" s="72"/>
      <c r="CB755" s="72"/>
      <c r="CC755" s="72"/>
      <c r="CD755" s="72"/>
      <c r="CE755" s="72"/>
      <c r="CF755" s="72"/>
      <c r="CG755" s="72"/>
      <c r="CH755" s="72"/>
      <c r="CI755" s="72"/>
      <c r="CJ755" s="72"/>
      <c r="CK755" s="72"/>
      <c r="CL755" s="72"/>
      <c r="CM755" s="72"/>
      <c r="CN755" s="72"/>
      <c r="CO755" s="72"/>
      <c r="CP755" s="72"/>
      <c r="CQ755" s="72"/>
      <c r="CR755" s="72"/>
      <c r="CS755" s="72"/>
    </row>
    <row r="756" spans="1:97" ht="13.2">
      <c r="B756" s="103"/>
      <c r="C756" s="103"/>
      <c r="D756" s="103"/>
      <c r="E756" s="103"/>
      <c r="F756" s="103"/>
      <c r="G756" s="25"/>
      <c r="H756" s="25"/>
      <c r="I756" s="25"/>
      <c r="J756" s="1866" t="s">
        <v>531</v>
      </c>
      <c r="K756" s="1866"/>
      <c r="L756" s="105"/>
      <c r="M756" s="808" t="s">
        <v>1400</v>
      </c>
      <c r="N756" s="105"/>
      <c r="O756" s="105"/>
      <c r="P756" s="105"/>
      <c r="Q756" s="25"/>
      <c r="R756" s="25"/>
      <c r="S756" s="25"/>
      <c r="T756" s="25"/>
      <c r="U756" s="25"/>
      <c r="V756" s="50"/>
      <c r="W756" s="50"/>
      <c r="X756" s="50"/>
      <c r="Y756" s="50"/>
      <c r="Z756" s="50"/>
      <c r="AA756" s="50"/>
      <c r="AB756" s="50"/>
      <c r="AC756" s="50"/>
      <c r="AM756" s="72"/>
      <c r="AN756" s="72"/>
      <c r="AO756" s="72"/>
      <c r="AP756" s="72"/>
      <c r="AQ756" s="72"/>
      <c r="AR756" s="72"/>
      <c r="AS756" s="72"/>
      <c r="AT756" s="72"/>
      <c r="AU756" s="72"/>
      <c r="AV756" s="72"/>
      <c r="AW756" s="72"/>
      <c r="AX756" s="72"/>
      <c r="AY756" s="72"/>
      <c r="AZ756" s="72"/>
      <c r="BA756" s="72"/>
      <c r="BB756" s="72"/>
      <c r="BC756" s="72"/>
      <c r="BD756" s="72"/>
      <c r="BE756" s="72"/>
      <c r="BF756" s="72"/>
      <c r="BG756" s="72"/>
      <c r="BH756" s="72"/>
      <c r="BI756" s="72"/>
      <c r="BJ756" s="72"/>
      <c r="BK756" s="72"/>
      <c r="BL756" s="72"/>
      <c r="BM756" s="72"/>
      <c r="BN756" s="72"/>
      <c r="BO756" s="72"/>
      <c r="BP756" s="72"/>
      <c r="BQ756" s="72"/>
      <c r="BR756" s="72"/>
      <c r="BS756" s="72"/>
      <c r="BT756" s="72"/>
      <c r="BU756" s="72"/>
      <c r="BV756" s="72"/>
      <c r="BW756" s="72"/>
      <c r="BX756" s="72"/>
      <c r="BY756" s="72"/>
      <c r="BZ756" s="72"/>
      <c r="CA756" s="72"/>
      <c r="CB756" s="72"/>
      <c r="CC756" s="72"/>
      <c r="CD756" s="72"/>
      <c r="CE756" s="72"/>
      <c r="CF756" s="72"/>
      <c r="CG756" s="72"/>
      <c r="CH756" s="72"/>
      <c r="CI756" s="72"/>
      <c r="CJ756" s="72"/>
      <c r="CK756" s="72"/>
      <c r="CL756" s="72"/>
      <c r="CM756" s="72"/>
      <c r="CN756" s="72"/>
      <c r="CO756" s="72"/>
      <c r="CP756" s="72"/>
      <c r="CQ756" s="72"/>
      <c r="CR756" s="72"/>
      <c r="CS756" s="72"/>
    </row>
    <row r="757" spans="1:97" ht="13.2">
      <c r="B757" s="103"/>
      <c r="C757" s="103"/>
      <c r="D757" s="103"/>
      <c r="E757" s="103"/>
      <c r="F757" s="103"/>
      <c r="G757" s="25"/>
      <c r="H757" s="25"/>
      <c r="I757" s="25"/>
      <c r="J757" s="25"/>
      <c r="K757" s="25"/>
      <c r="L757" s="105"/>
      <c r="M757" s="808" t="s">
        <v>1401</v>
      </c>
      <c r="N757" s="105"/>
      <c r="O757" s="105"/>
      <c r="P757" s="105"/>
      <c r="Q757" s="25"/>
      <c r="R757" s="25"/>
      <c r="S757" s="25"/>
      <c r="T757" s="25"/>
      <c r="U757" s="25"/>
      <c r="AM757" s="72"/>
      <c r="AN757" s="72"/>
      <c r="AO757" s="72"/>
      <c r="AP757" s="72"/>
      <c r="AQ757" s="72"/>
      <c r="AR757" s="72"/>
      <c r="AS757" s="72"/>
      <c r="AT757" s="72"/>
      <c r="AU757" s="72"/>
      <c r="AV757" s="72"/>
      <c r="AW757" s="72"/>
      <c r="AX757" s="72"/>
      <c r="AY757" s="72"/>
      <c r="AZ757" s="72"/>
      <c r="BA757" s="72"/>
      <c r="BB757" s="72"/>
      <c r="BC757" s="72"/>
      <c r="BD757" s="72"/>
      <c r="BE757" s="72"/>
      <c r="BF757" s="72"/>
      <c r="BG757" s="72"/>
      <c r="BH757" s="72"/>
      <c r="BI757" s="72"/>
      <c r="BJ757" s="72"/>
      <c r="BK757" s="72"/>
      <c r="BL757" s="72"/>
      <c r="BM757" s="72"/>
      <c r="BN757" s="72"/>
      <c r="BO757" s="72"/>
      <c r="BP757" s="72"/>
      <c r="BQ757" s="72"/>
      <c r="BR757" s="72"/>
      <c r="BS757" s="72"/>
      <c r="BT757" s="72"/>
      <c r="BU757" s="72"/>
      <c r="BV757" s="72"/>
      <c r="BW757" s="72"/>
      <c r="BX757" s="72"/>
      <c r="BY757" s="72"/>
      <c r="BZ757" s="72"/>
      <c r="CA757" s="72"/>
      <c r="CB757" s="72"/>
      <c r="CC757" s="72"/>
      <c r="CD757" s="72"/>
      <c r="CE757" s="72"/>
      <c r="CF757" s="72"/>
      <c r="CG757" s="72"/>
      <c r="CH757" s="72"/>
      <c r="CI757" s="72"/>
      <c r="CJ757" s="72"/>
      <c r="CK757" s="72"/>
      <c r="CL757" s="72"/>
      <c r="CM757" s="72"/>
      <c r="CN757" s="72"/>
      <c r="CO757" s="72"/>
      <c r="CP757" s="72"/>
      <c r="CQ757" s="72"/>
      <c r="CR757" s="72"/>
      <c r="CS757" s="72"/>
    </row>
    <row r="758" spans="1:97" ht="13.2">
      <c r="A758" s="63" t="s">
        <v>131</v>
      </c>
      <c r="B758" s="107"/>
      <c r="C758" s="107" t="s">
        <v>288</v>
      </c>
      <c r="D758" s="103"/>
      <c r="E758" s="103"/>
      <c r="F758" s="103"/>
      <c r="G758" s="25"/>
      <c r="H758" s="25"/>
      <c r="I758" s="25"/>
      <c r="J758" s="25"/>
      <c r="K758" s="25"/>
      <c r="L758" s="105"/>
      <c r="M758" s="105"/>
      <c r="N758" s="105"/>
      <c r="O758" s="105"/>
      <c r="P758" s="105"/>
      <c r="Q758" s="25"/>
      <c r="R758" s="25"/>
      <c r="S758" s="25"/>
      <c r="T758" s="25"/>
      <c r="U758" s="25"/>
      <c r="AM758" s="72"/>
      <c r="AN758" s="72"/>
      <c r="AO758" s="72"/>
      <c r="AP758" s="72"/>
      <c r="AQ758" s="72"/>
      <c r="AR758" s="72"/>
      <c r="AS758" s="72"/>
      <c r="AT758" s="72"/>
      <c r="AU758" s="72"/>
      <c r="AV758" s="72"/>
      <c r="AW758" s="72"/>
      <c r="AX758" s="72"/>
      <c r="AY758" s="72"/>
      <c r="AZ758" s="72"/>
      <c r="BA758" s="72"/>
      <c r="BB758" s="72"/>
      <c r="BC758" s="72"/>
      <c r="BD758" s="72"/>
      <c r="BE758" s="72"/>
      <c r="BF758" s="72"/>
      <c r="BG758" s="72"/>
      <c r="BH758" s="72"/>
      <c r="BI758" s="72"/>
      <c r="BJ758" s="72"/>
      <c r="BK758" s="72"/>
      <c r="BL758" s="72"/>
      <c r="BM758" s="72"/>
      <c r="BN758" s="72"/>
      <c r="BO758" s="72"/>
      <c r="BP758" s="72"/>
      <c r="BQ758" s="72"/>
      <c r="BR758" s="72"/>
      <c r="BS758" s="72"/>
      <c r="BT758" s="72"/>
      <c r="BU758" s="72"/>
      <c r="BV758" s="72"/>
      <c r="BW758" s="72"/>
      <c r="BX758" s="72"/>
      <c r="BY758" s="72"/>
      <c r="BZ758" s="72"/>
      <c r="CA758" s="72"/>
      <c r="CB758" s="72"/>
      <c r="CC758" s="72"/>
      <c r="CD758" s="72"/>
      <c r="CE758" s="72"/>
      <c r="CF758" s="72"/>
      <c r="CG758" s="72"/>
      <c r="CH758" s="72"/>
      <c r="CI758" s="72"/>
      <c r="CJ758" s="72"/>
      <c r="CK758" s="72"/>
      <c r="CL758" s="72"/>
      <c r="CM758" s="72"/>
      <c r="CN758" s="72"/>
      <c r="CO758" s="72"/>
      <c r="CP758" s="72"/>
      <c r="CQ758" s="72"/>
      <c r="CR758" s="72"/>
      <c r="CS758" s="72"/>
    </row>
    <row r="759" spans="1:97" ht="13.2">
      <c r="B759" s="103"/>
      <c r="C759" s="103"/>
      <c r="D759" s="103"/>
      <c r="E759" s="103"/>
      <c r="F759" s="103"/>
      <c r="G759" s="25"/>
      <c r="H759" s="25"/>
      <c r="I759" s="25"/>
      <c r="J759" s="25"/>
      <c r="K759" s="25"/>
      <c r="L759" s="105"/>
      <c r="M759" s="105"/>
      <c r="N759" s="105"/>
      <c r="O759" s="105"/>
      <c r="P759" s="105"/>
      <c r="Q759" s="25"/>
      <c r="R759" s="25"/>
      <c r="S759" s="25"/>
      <c r="T759" s="25"/>
      <c r="U759" s="25"/>
      <c r="AM759" s="72"/>
      <c r="AN759" s="72"/>
      <c r="AO759" s="72"/>
      <c r="AP759" s="72"/>
      <c r="AQ759" s="72"/>
      <c r="AR759" s="72"/>
      <c r="AS759" s="72"/>
      <c r="AT759" s="72"/>
      <c r="AU759" s="72"/>
      <c r="AV759" s="72"/>
      <c r="AW759" s="72"/>
      <c r="AX759" s="72"/>
      <c r="AY759" s="72"/>
      <c r="AZ759" s="72"/>
      <c r="BA759" s="72"/>
      <c r="BB759" s="72"/>
      <c r="BC759" s="72"/>
      <c r="BD759" s="72"/>
      <c r="BE759" s="72"/>
      <c r="BF759" s="72"/>
      <c r="BG759" s="72"/>
      <c r="BH759" s="72"/>
      <c r="BI759" s="72"/>
      <c r="BJ759" s="72"/>
      <c r="BK759" s="72"/>
      <c r="BL759" s="72"/>
      <c r="BM759" s="72"/>
      <c r="BN759" s="72"/>
      <c r="BO759" s="72"/>
      <c r="BP759" s="72"/>
      <c r="BQ759" s="72"/>
      <c r="BR759" s="72"/>
      <c r="BS759" s="72"/>
      <c r="BT759" s="72"/>
      <c r="BU759" s="72"/>
      <c r="BV759" s="72"/>
      <c r="BW759" s="72"/>
      <c r="BX759" s="72"/>
      <c r="BY759" s="72"/>
      <c r="BZ759" s="72"/>
      <c r="CA759" s="72"/>
      <c r="CB759" s="72"/>
      <c r="CC759" s="72"/>
      <c r="CD759" s="72"/>
      <c r="CE759" s="72"/>
      <c r="CF759" s="72"/>
      <c r="CG759" s="72"/>
      <c r="CH759" s="72"/>
      <c r="CI759" s="72"/>
      <c r="CJ759" s="72"/>
      <c r="CK759" s="72"/>
      <c r="CL759" s="72"/>
      <c r="CM759" s="72"/>
      <c r="CN759" s="72"/>
      <c r="CO759" s="72"/>
      <c r="CP759" s="72"/>
      <c r="CQ759" s="72"/>
      <c r="CR759" s="72"/>
      <c r="CS759" s="72"/>
    </row>
    <row r="760" spans="1:97" ht="12.75" customHeight="1">
      <c r="J760" s="1823" t="s">
        <v>59</v>
      </c>
      <c r="K760" s="1824"/>
      <c r="L760" s="1824"/>
      <c r="M760" s="1824"/>
      <c r="N760" s="1825"/>
      <c r="O760" s="2032" t="s">
        <v>284</v>
      </c>
      <c r="P760" s="2032"/>
      <c r="Q760" s="2032"/>
      <c r="R760" s="2032"/>
      <c r="S760" s="2032"/>
      <c r="T760" s="1817" t="s">
        <v>2296</v>
      </c>
      <c r="U760" s="1818"/>
      <c r="V760" s="1818"/>
      <c r="W760" s="1819"/>
      <c r="X760" s="1823" t="s">
        <v>655</v>
      </c>
      <c r="Y760" s="1824"/>
      <c r="Z760" s="1824"/>
      <c r="AA760" s="1824"/>
      <c r="AB760" s="1825"/>
      <c r="AC760" s="1823" t="s">
        <v>285</v>
      </c>
      <c r="AD760" s="1824"/>
      <c r="AE760" s="1824"/>
      <c r="AF760" s="1824"/>
      <c r="AG760" s="1825"/>
      <c r="AM760" s="72"/>
      <c r="AN760" s="72"/>
      <c r="AO760" s="72"/>
      <c r="AP760" s="72"/>
      <c r="AQ760" s="72"/>
      <c r="AR760" s="72"/>
      <c r="AS760" s="72"/>
      <c r="AT760" s="72"/>
      <c r="AU760" s="72"/>
      <c r="AV760" s="72"/>
      <c r="AW760" s="72"/>
      <c r="AX760" s="72"/>
      <c r="AY760" s="72"/>
      <c r="AZ760" s="72"/>
      <c r="BA760" s="72"/>
      <c r="BB760" s="72"/>
      <c r="BC760" s="72"/>
      <c r="BD760" s="72"/>
      <c r="BE760" s="72"/>
      <c r="BF760" s="72"/>
      <c r="BG760" s="72"/>
      <c r="BH760" s="72"/>
      <c r="BI760" s="72"/>
      <c r="BJ760" s="72"/>
      <c r="BK760" s="72"/>
      <c r="BL760" s="72"/>
      <c r="BM760" s="72"/>
      <c r="BN760" s="72"/>
      <c r="BO760" s="72"/>
      <c r="BP760" s="72"/>
      <c r="BQ760" s="72"/>
      <c r="BR760" s="72"/>
      <c r="BS760" s="72"/>
      <c r="BT760" s="72"/>
      <c r="BU760" s="72"/>
      <c r="BV760" s="72"/>
      <c r="BW760" s="72"/>
      <c r="BX760" s="72"/>
      <c r="BY760" s="72"/>
      <c r="BZ760" s="72"/>
      <c r="CA760" s="72"/>
      <c r="CB760" s="72"/>
      <c r="CC760" s="72"/>
      <c r="CD760" s="72"/>
      <c r="CE760" s="72"/>
      <c r="CF760" s="72"/>
      <c r="CG760" s="72"/>
      <c r="CH760" s="72"/>
      <c r="CI760" s="72"/>
      <c r="CJ760" s="72"/>
      <c r="CK760" s="72"/>
      <c r="CL760" s="72"/>
      <c r="CM760" s="72"/>
      <c r="CN760" s="72"/>
      <c r="CO760" s="72"/>
      <c r="CP760" s="72"/>
      <c r="CQ760" s="72"/>
      <c r="CR760" s="72"/>
      <c r="CS760" s="72"/>
    </row>
    <row r="761" spans="1:97" ht="13.2">
      <c r="J761" s="1826"/>
      <c r="K761" s="1827"/>
      <c r="L761" s="1827"/>
      <c r="M761" s="1827"/>
      <c r="N761" s="1828"/>
      <c r="O761" s="2032"/>
      <c r="P761" s="2032"/>
      <c r="Q761" s="2032"/>
      <c r="R761" s="2032"/>
      <c r="S761" s="2032"/>
      <c r="T761" s="1820"/>
      <c r="U761" s="1821"/>
      <c r="V761" s="1821"/>
      <c r="W761" s="1822"/>
      <c r="X761" s="1826"/>
      <c r="Y761" s="1827"/>
      <c r="Z761" s="1827"/>
      <c r="AA761" s="1827"/>
      <c r="AB761" s="1828"/>
      <c r="AC761" s="1826"/>
      <c r="AD761" s="1827"/>
      <c r="AE761" s="1827"/>
      <c r="AF761" s="1827"/>
      <c r="AG761" s="1828"/>
      <c r="AM761" s="72"/>
      <c r="AN761" s="72"/>
      <c r="AO761" s="72"/>
      <c r="AP761" s="72"/>
      <c r="AQ761" s="72"/>
      <c r="AR761" s="72"/>
      <c r="AS761" s="72"/>
      <c r="AT761" s="72"/>
      <c r="AU761" s="72"/>
      <c r="AV761" s="72"/>
      <c r="AW761" s="72"/>
      <c r="AX761" s="72"/>
      <c r="AY761" s="72"/>
      <c r="AZ761" s="72"/>
      <c r="BA761" s="72"/>
      <c r="BB761" s="72"/>
      <c r="BC761" s="72"/>
      <c r="BD761" s="72"/>
      <c r="BE761" s="72"/>
      <c r="BF761" s="72"/>
      <c r="BG761" s="72"/>
      <c r="BH761" s="72"/>
      <c r="BI761" s="72"/>
      <c r="BJ761" s="72"/>
      <c r="BK761" s="72"/>
      <c r="BL761" s="72"/>
      <c r="BM761" s="72"/>
      <c r="BN761" s="72"/>
      <c r="BO761" s="72"/>
      <c r="BP761" s="72"/>
      <c r="BQ761" s="72"/>
      <c r="BR761" s="72"/>
      <c r="BS761" s="72"/>
      <c r="BT761" s="72"/>
      <c r="BU761" s="72"/>
      <c r="BV761" s="72"/>
      <c r="BW761" s="72"/>
      <c r="BX761" s="72"/>
      <c r="BY761" s="72"/>
      <c r="BZ761" s="72"/>
      <c r="CA761" s="72"/>
      <c r="CB761" s="72"/>
      <c r="CC761" s="72"/>
      <c r="CD761" s="72"/>
      <c r="CE761" s="72"/>
      <c r="CF761" s="72"/>
      <c r="CG761" s="72"/>
      <c r="CH761" s="72"/>
      <c r="CI761" s="72"/>
      <c r="CJ761" s="72"/>
      <c r="CK761" s="72"/>
      <c r="CL761" s="72"/>
      <c r="CM761" s="72"/>
      <c r="CN761" s="72"/>
      <c r="CO761" s="72"/>
      <c r="CP761" s="72"/>
      <c r="CQ761" s="72"/>
      <c r="CR761" s="72"/>
      <c r="CS761" s="72"/>
    </row>
    <row r="762" spans="1:97" ht="13.2">
      <c r="J762" s="1826"/>
      <c r="K762" s="1827"/>
      <c r="L762" s="1827"/>
      <c r="M762" s="1827"/>
      <c r="N762" s="1828"/>
      <c r="O762" s="2032"/>
      <c r="P762" s="2032"/>
      <c r="Q762" s="2032"/>
      <c r="R762" s="2032"/>
      <c r="S762" s="2032"/>
      <c r="T762" s="1820"/>
      <c r="U762" s="1821"/>
      <c r="V762" s="1821"/>
      <c r="W762" s="1822"/>
      <c r="X762" s="1826"/>
      <c r="Y762" s="1827"/>
      <c r="Z762" s="1827"/>
      <c r="AA762" s="1827"/>
      <c r="AB762" s="1828"/>
      <c r="AC762" s="1826"/>
      <c r="AD762" s="1827"/>
      <c r="AE762" s="1827"/>
      <c r="AF762" s="1827"/>
      <c r="AG762" s="1828"/>
      <c r="AM762" s="72"/>
      <c r="AN762" s="72"/>
      <c r="AO762" s="72"/>
      <c r="AP762" s="72"/>
      <c r="AQ762" s="72"/>
      <c r="AR762" s="72"/>
      <c r="AS762" s="72"/>
      <c r="AT762" s="72"/>
      <c r="AU762" s="72"/>
      <c r="AV762" s="72"/>
      <c r="AW762" s="72"/>
      <c r="AX762" s="72"/>
      <c r="AY762" s="72"/>
      <c r="AZ762" s="72"/>
      <c r="BA762" s="72"/>
      <c r="BB762" s="72"/>
      <c r="BC762" s="72"/>
      <c r="BD762" s="72"/>
      <c r="BE762" s="72"/>
      <c r="BF762" s="72"/>
      <c r="BG762" s="72"/>
      <c r="BH762" s="72"/>
      <c r="BI762" s="72"/>
      <c r="BJ762" s="72"/>
      <c r="BK762" s="72"/>
      <c r="BL762" s="72"/>
      <c r="BM762" s="72"/>
      <c r="BN762" s="72"/>
      <c r="BO762" s="72"/>
      <c r="BP762" s="72"/>
      <c r="BQ762" s="72"/>
      <c r="BR762" s="72"/>
      <c r="BS762" s="72"/>
      <c r="BT762" s="72"/>
      <c r="BU762" s="72"/>
      <c r="BV762" s="72"/>
      <c r="BW762" s="72"/>
      <c r="BX762" s="72"/>
      <c r="BY762" s="72"/>
      <c r="BZ762" s="72"/>
      <c r="CA762" s="72"/>
      <c r="CB762" s="72"/>
      <c r="CC762" s="72"/>
      <c r="CD762" s="72"/>
      <c r="CE762" s="72"/>
      <c r="CF762" s="72"/>
      <c r="CG762" s="72"/>
      <c r="CH762" s="72"/>
      <c r="CI762" s="72"/>
      <c r="CJ762" s="72"/>
      <c r="CK762" s="72"/>
      <c r="CL762" s="72"/>
      <c r="CM762" s="72"/>
      <c r="CN762" s="72"/>
      <c r="CO762" s="72"/>
      <c r="CP762" s="72"/>
      <c r="CQ762" s="72"/>
      <c r="CR762" s="72"/>
      <c r="CS762" s="72"/>
    </row>
    <row r="763" spans="1:97" ht="13.2">
      <c r="J763" s="1829"/>
      <c r="K763" s="1830"/>
      <c r="L763" s="1830"/>
      <c r="M763" s="1830"/>
      <c r="N763" s="1831"/>
      <c r="O763" s="2032"/>
      <c r="P763" s="2032"/>
      <c r="Q763" s="2032"/>
      <c r="R763" s="2032"/>
      <c r="S763" s="2032"/>
      <c r="T763" s="2000"/>
      <c r="U763" s="2001"/>
      <c r="V763" s="2001"/>
      <c r="W763" s="2002"/>
      <c r="X763" s="1829"/>
      <c r="Y763" s="1830"/>
      <c r="Z763" s="1830"/>
      <c r="AA763" s="1830"/>
      <c r="AB763" s="1831"/>
      <c r="AC763" s="1829"/>
      <c r="AD763" s="1830"/>
      <c r="AE763" s="1830"/>
      <c r="AF763" s="1830"/>
      <c r="AG763" s="1831"/>
      <c r="AM763" s="72"/>
      <c r="AN763" s="72"/>
      <c r="AO763" s="72"/>
      <c r="AP763" s="72"/>
      <c r="AQ763" s="72"/>
      <c r="AR763" s="72"/>
      <c r="AS763" s="72"/>
      <c r="AT763" s="72"/>
      <c r="AU763" s="72"/>
      <c r="AV763" s="72"/>
      <c r="AW763" s="72"/>
      <c r="AX763" s="72"/>
      <c r="AY763" s="72"/>
      <c r="AZ763" s="72"/>
      <c r="BA763" s="72"/>
      <c r="BB763" s="72"/>
      <c r="BC763" s="72"/>
      <c r="BD763" s="72"/>
      <c r="BE763" s="72"/>
      <c r="BF763" s="72"/>
      <c r="BG763" s="72"/>
      <c r="BH763" s="72"/>
      <c r="BI763" s="72"/>
      <c r="BJ763" s="72"/>
      <c r="BK763" s="72"/>
      <c r="BL763" s="72"/>
      <c r="BM763" s="72"/>
      <c r="BN763" s="72"/>
      <c r="BO763" s="72"/>
      <c r="BP763" s="72"/>
      <c r="BQ763" s="72"/>
      <c r="BR763" s="72"/>
      <c r="BS763" s="72"/>
      <c r="BT763" s="72"/>
      <c r="BU763" s="72"/>
      <c r="BV763" s="72"/>
      <c r="BW763" s="72"/>
      <c r="BX763" s="72"/>
      <c r="BY763" s="72"/>
      <c r="BZ763" s="72"/>
      <c r="CA763" s="72"/>
      <c r="CB763" s="72"/>
      <c r="CC763" s="72"/>
      <c r="CD763" s="72"/>
      <c r="CE763" s="72"/>
      <c r="CF763" s="72"/>
      <c r="CG763" s="72"/>
      <c r="CH763" s="72"/>
      <c r="CI763" s="72"/>
      <c r="CJ763" s="72"/>
      <c r="CK763" s="72"/>
      <c r="CL763" s="72"/>
      <c r="CM763" s="72"/>
      <c r="CN763" s="72"/>
      <c r="CO763" s="72"/>
      <c r="CP763" s="72"/>
      <c r="CQ763" s="72"/>
      <c r="CR763" s="72"/>
      <c r="CS763" s="72"/>
    </row>
    <row r="764" spans="1:97" ht="13.2">
      <c r="J764" s="1775"/>
      <c r="K764" s="1776"/>
      <c r="L764" s="1776"/>
      <c r="M764" s="1776"/>
      <c r="N764" s="1777"/>
      <c r="O764" s="1778"/>
      <c r="P764" s="1778"/>
      <c r="Q764" s="1778"/>
      <c r="R764" s="1778"/>
      <c r="S764" s="1778"/>
      <c r="T764" s="1764"/>
      <c r="U764" s="1765"/>
      <c r="V764" s="1765"/>
      <c r="W764" s="1766"/>
      <c r="X764" s="1767"/>
      <c r="Y764" s="1768"/>
      <c r="Z764" s="1768"/>
      <c r="AA764" s="1768"/>
      <c r="AB764" s="1769"/>
      <c r="AC764" s="1770">
        <f t="shared" ref="AC764:AC773" si="32">X764*O764</f>
        <v>0</v>
      </c>
      <c r="AD764" s="1771"/>
      <c r="AE764" s="1771"/>
      <c r="AF764" s="1771"/>
      <c r="AG764" s="1772"/>
      <c r="AM764" s="72"/>
      <c r="AN764" s="72"/>
      <c r="AO764" s="72"/>
      <c r="AP764" s="72"/>
      <c r="AQ764" s="72"/>
      <c r="AR764" s="72"/>
      <c r="AS764" s="72"/>
      <c r="AT764" s="72"/>
      <c r="AU764" s="72"/>
      <c r="AV764" s="72"/>
      <c r="AW764" s="72"/>
      <c r="AX764" s="72"/>
      <c r="AY764" s="72"/>
      <c r="AZ764" s="72"/>
      <c r="BA764" s="72"/>
      <c r="BB764" s="72"/>
      <c r="BC764" s="72"/>
      <c r="BD764" s="72"/>
      <c r="BE764" s="72"/>
      <c r="BF764" s="72"/>
      <c r="BG764" s="72"/>
      <c r="BH764" s="72"/>
      <c r="BI764" s="72"/>
      <c r="BJ764" s="72"/>
      <c r="BK764" s="72"/>
      <c r="BL764" s="72"/>
      <c r="BM764" s="72"/>
      <c r="BN764" s="72"/>
      <c r="BO764" s="72"/>
      <c r="BP764" s="72"/>
      <c r="BQ764" s="72"/>
      <c r="BR764" s="72"/>
      <c r="BS764" s="72"/>
      <c r="BT764" s="72"/>
      <c r="BU764" s="72"/>
      <c r="BV764" s="72"/>
      <c r="BW764" s="72"/>
      <c r="BX764" s="72"/>
      <c r="BY764" s="72"/>
      <c r="BZ764" s="72"/>
      <c r="CA764" s="72"/>
      <c r="CB764" s="72"/>
      <c r="CC764" s="72"/>
      <c r="CD764" s="72"/>
      <c r="CE764" s="72"/>
      <c r="CF764" s="72"/>
      <c r="CG764" s="72"/>
      <c r="CH764" s="72"/>
      <c r="CI764" s="72"/>
      <c r="CJ764" s="72"/>
      <c r="CK764" s="72"/>
      <c r="CL764" s="72"/>
      <c r="CM764" s="72"/>
      <c r="CN764" s="72"/>
      <c r="CO764" s="72"/>
      <c r="CP764" s="72"/>
      <c r="CQ764" s="72"/>
      <c r="CR764" s="72"/>
      <c r="CS764" s="72"/>
    </row>
    <row r="765" spans="1:97" ht="13.2">
      <c r="J765" s="1775"/>
      <c r="K765" s="1776"/>
      <c r="L765" s="1776"/>
      <c r="M765" s="1776"/>
      <c r="N765" s="1777"/>
      <c r="O765" s="1778"/>
      <c r="P765" s="1778"/>
      <c r="Q765" s="1778"/>
      <c r="R765" s="1778"/>
      <c r="S765" s="1778"/>
      <c r="T765" s="1764"/>
      <c r="U765" s="1765"/>
      <c r="V765" s="1765"/>
      <c r="W765" s="1766"/>
      <c r="X765" s="1767"/>
      <c r="Y765" s="1768"/>
      <c r="Z765" s="1768"/>
      <c r="AA765" s="1768"/>
      <c r="AB765" s="1769"/>
      <c r="AC765" s="1770">
        <f t="shared" si="32"/>
        <v>0</v>
      </c>
      <c r="AD765" s="1771"/>
      <c r="AE765" s="1771"/>
      <c r="AF765" s="1771"/>
      <c r="AG765" s="1772"/>
      <c r="AM765" s="72"/>
      <c r="AN765" s="72"/>
      <c r="AO765" s="72"/>
      <c r="AP765" s="72"/>
      <c r="AQ765" s="72"/>
      <c r="AR765" s="72"/>
      <c r="AS765" s="72"/>
      <c r="AT765" s="72"/>
      <c r="AU765" s="72"/>
      <c r="AV765" s="72"/>
      <c r="AW765" s="72"/>
      <c r="AX765" s="72"/>
      <c r="AY765" s="72"/>
      <c r="AZ765" s="72"/>
      <c r="BA765" s="72"/>
      <c r="BB765" s="72"/>
      <c r="BC765" s="72"/>
      <c r="BD765" s="72"/>
      <c r="BE765" s="72"/>
      <c r="BF765" s="72"/>
      <c r="BG765" s="72"/>
      <c r="BH765" s="72"/>
      <c r="BI765" s="72"/>
      <c r="BJ765" s="72"/>
      <c r="BK765" s="72"/>
      <c r="BL765" s="72"/>
      <c r="BM765" s="72"/>
      <c r="BN765" s="72"/>
      <c r="BO765" s="72"/>
      <c r="BP765" s="72"/>
      <c r="BQ765" s="72"/>
      <c r="BR765" s="72"/>
      <c r="BS765" s="72"/>
      <c r="BT765" s="72"/>
      <c r="BU765" s="72"/>
      <c r="BV765" s="72"/>
      <c r="BW765" s="72"/>
      <c r="BX765" s="72"/>
      <c r="BY765" s="72"/>
      <c r="BZ765" s="72"/>
      <c r="CA765" s="72"/>
      <c r="CB765" s="72"/>
      <c r="CC765" s="72"/>
      <c r="CD765" s="72"/>
      <c r="CE765" s="72"/>
      <c r="CF765" s="72"/>
      <c r="CG765" s="72"/>
      <c r="CH765" s="72"/>
      <c r="CI765" s="72"/>
      <c r="CJ765" s="72"/>
      <c r="CK765" s="72"/>
      <c r="CL765" s="72"/>
      <c r="CM765" s="72"/>
      <c r="CN765" s="72"/>
      <c r="CO765" s="72"/>
      <c r="CP765" s="72"/>
      <c r="CQ765" s="72"/>
      <c r="CR765" s="72"/>
      <c r="CS765" s="72"/>
    </row>
    <row r="766" spans="1:97" ht="13.2">
      <c r="J766" s="1775"/>
      <c r="K766" s="1776"/>
      <c r="L766" s="1776"/>
      <c r="M766" s="1776"/>
      <c r="N766" s="1777"/>
      <c r="O766" s="1778"/>
      <c r="P766" s="1778"/>
      <c r="Q766" s="1778"/>
      <c r="R766" s="1778"/>
      <c r="S766" s="1778"/>
      <c r="T766" s="1764"/>
      <c r="U766" s="1765"/>
      <c r="V766" s="1765"/>
      <c r="W766" s="1766"/>
      <c r="X766" s="1767"/>
      <c r="Y766" s="1768"/>
      <c r="Z766" s="1768"/>
      <c r="AA766" s="1768"/>
      <c r="AB766" s="1769"/>
      <c r="AC766" s="1770">
        <f t="shared" si="32"/>
        <v>0</v>
      </c>
      <c r="AD766" s="1771"/>
      <c r="AE766" s="1771"/>
      <c r="AF766" s="1771"/>
      <c r="AG766" s="1772"/>
      <c r="AM766" s="72"/>
      <c r="AN766" s="72"/>
      <c r="AO766" s="72"/>
      <c r="AP766" s="72"/>
      <c r="AQ766" s="72"/>
      <c r="AR766" s="72"/>
      <c r="AS766" s="72"/>
      <c r="AT766" s="72"/>
      <c r="AU766" s="72"/>
      <c r="AV766" s="72"/>
      <c r="AW766" s="72"/>
      <c r="AX766" s="72"/>
      <c r="AY766" s="72"/>
      <c r="AZ766" s="72"/>
      <c r="BA766" s="72"/>
      <c r="BB766" s="72"/>
      <c r="BC766" s="72"/>
      <c r="BD766" s="72"/>
      <c r="BE766" s="72"/>
      <c r="BF766" s="72"/>
      <c r="BG766" s="72"/>
      <c r="BH766" s="72"/>
      <c r="BI766" s="72"/>
      <c r="BJ766" s="72"/>
      <c r="BK766" s="72"/>
      <c r="BL766" s="72"/>
      <c r="BM766" s="72"/>
      <c r="BN766" s="72"/>
      <c r="BO766" s="72"/>
      <c r="BP766" s="72"/>
      <c r="BQ766" s="72"/>
      <c r="BR766" s="72"/>
      <c r="BS766" s="72"/>
      <c r="BT766" s="72"/>
      <c r="BU766" s="72"/>
      <c r="BV766" s="72"/>
      <c r="BW766" s="72"/>
      <c r="BX766" s="72"/>
      <c r="BY766" s="72"/>
      <c r="BZ766" s="72"/>
      <c r="CA766" s="72"/>
      <c r="CB766" s="72"/>
      <c r="CC766" s="72"/>
      <c r="CD766" s="72"/>
      <c r="CE766" s="72"/>
      <c r="CF766" s="72"/>
      <c r="CG766" s="72"/>
      <c r="CH766" s="72"/>
      <c r="CI766" s="72"/>
      <c r="CJ766" s="72"/>
      <c r="CK766" s="72"/>
      <c r="CL766" s="72"/>
      <c r="CM766" s="72"/>
      <c r="CN766" s="72"/>
      <c r="CO766" s="72"/>
      <c r="CP766" s="72"/>
      <c r="CQ766" s="72"/>
      <c r="CR766" s="72"/>
      <c r="CS766" s="72"/>
    </row>
    <row r="767" spans="1:97" ht="13.2">
      <c r="J767" s="1775"/>
      <c r="K767" s="1776"/>
      <c r="L767" s="1776"/>
      <c r="M767" s="1776"/>
      <c r="N767" s="1777"/>
      <c r="O767" s="1778"/>
      <c r="P767" s="1778"/>
      <c r="Q767" s="1778"/>
      <c r="R767" s="1778"/>
      <c r="S767" s="1778"/>
      <c r="T767" s="1764"/>
      <c r="U767" s="1765"/>
      <c r="V767" s="1765"/>
      <c r="W767" s="1766"/>
      <c r="X767" s="1767"/>
      <c r="Y767" s="1768"/>
      <c r="Z767" s="1768"/>
      <c r="AA767" s="1768"/>
      <c r="AB767" s="1769"/>
      <c r="AC767" s="1770">
        <f t="shared" si="32"/>
        <v>0</v>
      </c>
      <c r="AD767" s="1771"/>
      <c r="AE767" s="1771"/>
      <c r="AF767" s="1771"/>
      <c r="AG767" s="1772"/>
      <c r="AL767" s="72"/>
      <c r="AM767" s="72"/>
      <c r="AN767" s="72"/>
      <c r="AO767" s="72"/>
      <c r="AP767" s="72"/>
      <c r="AQ767" s="72"/>
      <c r="AR767" s="72"/>
      <c r="AS767" s="72"/>
      <c r="AT767" s="72"/>
      <c r="AU767" s="72"/>
      <c r="AV767" s="72"/>
      <c r="AW767" s="72"/>
      <c r="AX767" s="72"/>
      <c r="AY767" s="72"/>
      <c r="AZ767" s="72"/>
      <c r="BA767" s="72"/>
      <c r="BB767" s="72"/>
      <c r="BC767" s="72"/>
      <c r="BD767" s="72"/>
      <c r="BE767" s="72"/>
      <c r="BF767" s="72"/>
      <c r="BG767" s="72"/>
      <c r="BH767" s="72"/>
      <c r="BI767" s="72"/>
      <c r="BJ767" s="72"/>
      <c r="BK767" s="72"/>
      <c r="BL767" s="72"/>
      <c r="BM767" s="72"/>
      <c r="BN767" s="72"/>
      <c r="BO767" s="72"/>
      <c r="BP767" s="72"/>
      <c r="BQ767" s="72"/>
      <c r="BR767" s="72"/>
      <c r="BS767" s="72"/>
      <c r="BT767" s="72"/>
      <c r="BU767" s="72"/>
      <c r="BV767" s="72"/>
      <c r="BW767" s="72"/>
      <c r="BX767" s="72"/>
      <c r="BY767" s="72"/>
      <c r="BZ767" s="72"/>
      <c r="CA767" s="72"/>
      <c r="CB767" s="72"/>
      <c r="CC767" s="72"/>
      <c r="CD767" s="72"/>
      <c r="CE767" s="72"/>
      <c r="CF767" s="72"/>
      <c r="CG767" s="72"/>
      <c r="CH767" s="72"/>
      <c r="CI767" s="72"/>
      <c r="CJ767" s="72"/>
      <c r="CK767" s="72"/>
      <c r="CL767" s="72"/>
      <c r="CM767" s="72"/>
      <c r="CN767" s="72"/>
      <c r="CO767" s="72"/>
      <c r="CP767" s="72"/>
      <c r="CQ767" s="72"/>
      <c r="CR767" s="72"/>
      <c r="CS767" s="72"/>
    </row>
    <row r="768" spans="1:97" ht="13.2">
      <c r="J768" s="1775"/>
      <c r="K768" s="1776"/>
      <c r="L768" s="1776"/>
      <c r="M768" s="1776"/>
      <c r="N768" s="1777"/>
      <c r="O768" s="1778"/>
      <c r="P768" s="1778"/>
      <c r="Q768" s="1778"/>
      <c r="R768" s="1778"/>
      <c r="S768" s="1778"/>
      <c r="T768" s="1764"/>
      <c r="U768" s="1765"/>
      <c r="V768" s="1765"/>
      <c r="W768" s="1766"/>
      <c r="X768" s="1767"/>
      <c r="Y768" s="1768"/>
      <c r="Z768" s="1768"/>
      <c r="AA768" s="1768"/>
      <c r="AB768" s="1769"/>
      <c r="AC768" s="1770">
        <f t="shared" si="32"/>
        <v>0</v>
      </c>
      <c r="AD768" s="1771"/>
      <c r="AE768" s="1771"/>
      <c r="AF768" s="1771"/>
      <c r="AG768" s="1772"/>
      <c r="AL768" s="72"/>
      <c r="AM768" s="72"/>
      <c r="AN768" s="72"/>
      <c r="AO768" s="72"/>
      <c r="AP768" s="72"/>
      <c r="AQ768" s="72"/>
      <c r="AR768" s="72"/>
      <c r="AS768" s="72"/>
      <c r="AT768" s="72"/>
      <c r="AU768" s="72"/>
      <c r="AV768" s="72"/>
      <c r="AW768" s="72"/>
      <c r="AX768" s="72"/>
      <c r="AY768" s="72"/>
      <c r="AZ768" s="72"/>
      <c r="BA768" s="72"/>
      <c r="BB768" s="72"/>
      <c r="BC768" s="72"/>
      <c r="BD768" s="72"/>
      <c r="BE768" s="72"/>
      <c r="BF768" s="72"/>
      <c r="BG768" s="72"/>
      <c r="BH768" s="72"/>
      <c r="BI768" s="72"/>
      <c r="BJ768" s="72"/>
      <c r="BK768" s="72"/>
      <c r="BL768" s="72"/>
      <c r="BM768" s="72"/>
      <c r="BN768" s="72"/>
      <c r="BO768" s="72"/>
      <c r="BP768" s="72"/>
      <c r="BQ768" s="72"/>
      <c r="BR768" s="72"/>
      <c r="BS768" s="72"/>
      <c r="BT768" s="72"/>
      <c r="BU768" s="72"/>
      <c r="BV768" s="72"/>
      <c r="BW768" s="72"/>
      <c r="BX768" s="72"/>
      <c r="BY768" s="72"/>
      <c r="BZ768" s="72"/>
      <c r="CA768" s="72"/>
      <c r="CB768" s="72"/>
      <c r="CC768" s="72"/>
      <c r="CD768" s="72"/>
      <c r="CE768" s="72"/>
      <c r="CF768" s="72"/>
      <c r="CG768" s="72"/>
      <c r="CH768" s="72"/>
      <c r="CI768" s="72"/>
      <c r="CJ768" s="72"/>
      <c r="CK768" s="72"/>
      <c r="CL768" s="72"/>
      <c r="CM768" s="72"/>
      <c r="CN768" s="72"/>
      <c r="CO768" s="72"/>
      <c r="CP768" s="72"/>
      <c r="CQ768" s="72"/>
      <c r="CR768" s="72"/>
      <c r="CS768" s="72"/>
    </row>
    <row r="769" spans="1:97" ht="13.2">
      <c r="J769" s="1775"/>
      <c r="K769" s="1776"/>
      <c r="L769" s="1776"/>
      <c r="M769" s="1776"/>
      <c r="N769" s="1777"/>
      <c r="O769" s="1778"/>
      <c r="P769" s="1778"/>
      <c r="Q769" s="1778"/>
      <c r="R769" s="1778"/>
      <c r="S769" s="1778"/>
      <c r="T769" s="1764"/>
      <c r="U769" s="1765"/>
      <c r="V769" s="1765"/>
      <c r="W769" s="1766"/>
      <c r="X769" s="1767"/>
      <c r="Y769" s="1768"/>
      <c r="Z769" s="1768"/>
      <c r="AA769" s="1768"/>
      <c r="AB769" s="1769"/>
      <c r="AC769" s="1770">
        <f t="shared" si="32"/>
        <v>0</v>
      </c>
      <c r="AD769" s="1771"/>
      <c r="AE769" s="1771"/>
      <c r="AF769" s="1771"/>
      <c r="AG769" s="1772"/>
      <c r="AL769" s="72"/>
      <c r="AM769" s="72"/>
      <c r="AN769" s="72"/>
      <c r="AO769" s="72"/>
      <c r="AP769" s="72"/>
      <c r="AQ769" s="72"/>
      <c r="AR769" s="72"/>
      <c r="AS769" s="72"/>
      <c r="AT769" s="72"/>
      <c r="AU769" s="72"/>
      <c r="AV769" s="72"/>
      <c r="AW769" s="72"/>
      <c r="AX769" s="72"/>
      <c r="AY769" s="72"/>
      <c r="AZ769" s="72"/>
      <c r="BA769" s="72"/>
      <c r="BB769" s="72"/>
      <c r="BC769" s="72"/>
      <c r="BD769" s="72"/>
      <c r="BE769" s="72"/>
      <c r="BF769" s="72"/>
      <c r="BG769" s="72"/>
      <c r="BH769" s="72"/>
      <c r="BI769" s="72"/>
      <c r="BJ769" s="72"/>
      <c r="BK769" s="72"/>
      <c r="BL769" s="72"/>
      <c r="BM769" s="72"/>
      <c r="BN769" s="72"/>
      <c r="BO769" s="72"/>
      <c r="BP769" s="72"/>
      <c r="BQ769" s="72"/>
      <c r="BR769" s="72"/>
      <c r="BS769" s="72"/>
      <c r="BT769" s="72"/>
      <c r="BU769" s="72"/>
      <c r="BV769" s="72"/>
      <c r="BW769" s="72"/>
      <c r="BX769" s="72"/>
      <c r="BY769" s="72"/>
      <c r="BZ769" s="72"/>
      <c r="CA769" s="72"/>
      <c r="CB769" s="72"/>
      <c r="CC769" s="72"/>
      <c r="CD769" s="72"/>
      <c r="CE769" s="72"/>
      <c r="CF769" s="72"/>
      <c r="CG769" s="72"/>
      <c r="CH769" s="72"/>
      <c r="CI769" s="72"/>
      <c r="CJ769" s="72"/>
      <c r="CK769" s="72"/>
      <c r="CL769" s="72"/>
      <c r="CM769" s="72"/>
      <c r="CN769" s="72"/>
      <c r="CO769" s="72"/>
      <c r="CP769" s="72"/>
      <c r="CQ769" s="72"/>
      <c r="CR769" s="72"/>
      <c r="CS769" s="72"/>
    </row>
    <row r="770" spans="1:97" ht="13.2">
      <c r="J770" s="1775"/>
      <c r="K770" s="1776"/>
      <c r="L770" s="1776"/>
      <c r="M770" s="1776"/>
      <c r="N770" s="1777"/>
      <c r="O770" s="1778"/>
      <c r="P770" s="1778"/>
      <c r="Q770" s="1778"/>
      <c r="R770" s="1778"/>
      <c r="S770" s="1778"/>
      <c r="T770" s="1764"/>
      <c r="U770" s="1765"/>
      <c r="V770" s="1765"/>
      <c r="W770" s="1766"/>
      <c r="X770" s="1767"/>
      <c r="Y770" s="1768"/>
      <c r="Z770" s="1768"/>
      <c r="AA770" s="1768"/>
      <c r="AB770" s="1769"/>
      <c r="AC770" s="1770">
        <f t="shared" si="32"/>
        <v>0</v>
      </c>
      <c r="AD770" s="1771"/>
      <c r="AE770" s="1771"/>
      <c r="AF770" s="1771"/>
      <c r="AG770" s="1772"/>
      <c r="AL770" s="72"/>
      <c r="AM770" s="72"/>
      <c r="AN770" s="72"/>
      <c r="AO770" s="72"/>
      <c r="AP770" s="72"/>
      <c r="AQ770" s="72"/>
      <c r="AR770" s="72"/>
      <c r="AS770" s="72"/>
      <c r="AT770" s="72"/>
      <c r="AU770" s="72"/>
      <c r="AV770" s="72"/>
      <c r="AW770" s="72"/>
      <c r="AX770" s="72"/>
      <c r="AY770" s="72"/>
      <c r="AZ770" s="72"/>
      <c r="BA770" s="72"/>
      <c r="BB770" s="72"/>
      <c r="BC770" s="72"/>
      <c r="BD770" s="72"/>
      <c r="BE770" s="72"/>
      <c r="BF770" s="72"/>
      <c r="BG770" s="72"/>
      <c r="BH770" s="72"/>
      <c r="BI770" s="72"/>
      <c r="BJ770" s="72"/>
      <c r="BK770" s="72"/>
      <c r="BL770" s="72"/>
      <c r="BM770" s="72"/>
      <c r="BN770" s="72"/>
      <c r="BO770" s="72"/>
      <c r="BP770" s="72"/>
      <c r="BQ770" s="72"/>
      <c r="BR770" s="72"/>
      <c r="BS770" s="72"/>
      <c r="BT770" s="72"/>
      <c r="BU770" s="72"/>
      <c r="BV770" s="72"/>
      <c r="BW770" s="72"/>
      <c r="BX770" s="72"/>
      <c r="BY770" s="72"/>
      <c r="BZ770" s="72"/>
      <c r="CA770" s="72"/>
      <c r="CB770" s="72"/>
      <c r="CC770" s="72"/>
      <c r="CD770" s="72"/>
      <c r="CE770" s="72"/>
      <c r="CF770" s="72"/>
      <c r="CG770" s="72"/>
      <c r="CH770" s="72"/>
      <c r="CI770" s="72"/>
      <c r="CJ770" s="72"/>
      <c r="CK770" s="72"/>
      <c r="CL770" s="72"/>
      <c r="CM770" s="72"/>
      <c r="CN770" s="72"/>
      <c r="CO770" s="72"/>
      <c r="CP770" s="72"/>
      <c r="CQ770" s="72"/>
      <c r="CR770" s="72"/>
      <c r="CS770" s="72"/>
    </row>
    <row r="771" spans="1:97" ht="13.2">
      <c r="J771" s="1775"/>
      <c r="K771" s="1776"/>
      <c r="L771" s="1776"/>
      <c r="M771" s="1776"/>
      <c r="N771" s="1777"/>
      <c r="O771" s="1778"/>
      <c r="P771" s="1778"/>
      <c r="Q771" s="1778"/>
      <c r="R771" s="1778"/>
      <c r="S771" s="1778"/>
      <c r="T771" s="1764"/>
      <c r="U771" s="1765"/>
      <c r="V771" s="1765"/>
      <c r="W771" s="1766"/>
      <c r="X771" s="1767"/>
      <c r="Y771" s="1768"/>
      <c r="Z771" s="1768"/>
      <c r="AA771" s="1768"/>
      <c r="AB771" s="1769"/>
      <c r="AC771" s="1770">
        <f t="shared" si="32"/>
        <v>0</v>
      </c>
      <c r="AD771" s="1771"/>
      <c r="AE771" s="1771"/>
      <c r="AF771" s="1771"/>
      <c r="AG771" s="1772"/>
      <c r="AL771" s="72"/>
      <c r="AM771" s="72"/>
      <c r="AN771" s="72"/>
      <c r="AO771" s="72"/>
      <c r="AP771" s="72"/>
      <c r="AQ771" s="72"/>
      <c r="AR771" s="72"/>
      <c r="AS771" s="72"/>
      <c r="AT771" s="72"/>
      <c r="AU771" s="72"/>
      <c r="AV771" s="72"/>
      <c r="AW771" s="72"/>
      <c r="AX771" s="72"/>
      <c r="AY771" s="72"/>
      <c r="AZ771" s="72"/>
      <c r="BA771" s="72"/>
      <c r="BB771" s="72"/>
      <c r="BC771" s="72"/>
      <c r="BD771" s="72"/>
      <c r="BE771" s="72"/>
      <c r="BF771" s="72"/>
      <c r="BG771" s="72"/>
      <c r="BH771" s="72"/>
      <c r="BI771" s="72"/>
      <c r="BJ771" s="72"/>
      <c r="BK771" s="72"/>
      <c r="BL771" s="72"/>
      <c r="BM771" s="72"/>
      <c r="BN771" s="72"/>
      <c r="BO771" s="72"/>
      <c r="BP771" s="72"/>
      <c r="BQ771" s="72"/>
      <c r="BR771" s="72"/>
      <c r="BS771" s="72"/>
      <c r="BT771" s="72"/>
      <c r="BU771" s="72"/>
      <c r="BV771" s="72"/>
      <c r="BW771" s="72"/>
      <c r="BX771" s="72"/>
      <c r="BY771" s="72"/>
      <c r="BZ771" s="72"/>
      <c r="CA771" s="72"/>
      <c r="CB771" s="72"/>
      <c r="CC771" s="72"/>
      <c r="CD771" s="72"/>
      <c r="CE771" s="72"/>
      <c r="CF771" s="72"/>
      <c r="CG771" s="72"/>
      <c r="CH771" s="72"/>
      <c r="CI771" s="72"/>
      <c r="CJ771" s="72"/>
      <c r="CK771" s="72"/>
      <c r="CL771" s="72"/>
      <c r="CM771" s="72"/>
      <c r="CN771" s="72"/>
      <c r="CO771" s="72"/>
      <c r="CP771" s="72"/>
      <c r="CQ771" s="72"/>
      <c r="CR771" s="72"/>
      <c r="CS771" s="72"/>
    </row>
    <row r="772" spans="1:97" ht="13.2">
      <c r="J772" s="1775"/>
      <c r="K772" s="1776"/>
      <c r="L772" s="1776"/>
      <c r="M772" s="1776"/>
      <c r="N772" s="1777"/>
      <c r="O772" s="1778"/>
      <c r="P772" s="1778"/>
      <c r="Q772" s="1778"/>
      <c r="R772" s="1778"/>
      <c r="S772" s="1778"/>
      <c r="T772" s="1764"/>
      <c r="U772" s="1765"/>
      <c r="V772" s="1765"/>
      <c r="W772" s="1766"/>
      <c r="X772" s="1767"/>
      <c r="Y772" s="1768"/>
      <c r="Z772" s="1768"/>
      <c r="AA772" s="1768"/>
      <c r="AB772" s="1769"/>
      <c r="AC772" s="1770">
        <f t="shared" si="32"/>
        <v>0</v>
      </c>
      <c r="AD772" s="1771"/>
      <c r="AE772" s="1771"/>
      <c r="AF772" s="1771"/>
      <c r="AG772" s="1772"/>
      <c r="AL772" s="72"/>
      <c r="AM772" s="72"/>
      <c r="AN772" s="72"/>
      <c r="AO772" s="72"/>
      <c r="AP772" s="72"/>
      <c r="AQ772" s="72"/>
      <c r="AR772" s="72"/>
      <c r="AS772" s="72"/>
      <c r="AT772" s="72"/>
      <c r="AU772" s="72"/>
      <c r="AV772" s="72"/>
      <c r="AW772" s="72"/>
      <c r="AX772" s="72"/>
      <c r="AY772" s="72"/>
      <c r="AZ772" s="72"/>
      <c r="BA772" s="72"/>
      <c r="BB772" s="72"/>
      <c r="BC772" s="72"/>
      <c r="BD772" s="72"/>
      <c r="BE772" s="72"/>
      <c r="BF772" s="72"/>
      <c r="BG772" s="72"/>
      <c r="BH772" s="72"/>
      <c r="BI772" s="72"/>
      <c r="BJ772" s="72"/>
      <c r="BK772" s="72"/>
      <c r="BL772" s="72"/>
      <c r="BM772" s="72"/>
      <c r="BN772" s="72"/>
      <c r="BO772" s="72"/>
      <c r="BP772" s="72"/>
      <c r="BQ772" s="72"/>
      <c r="BR772" s="72"/>
      <c r="BS772" s="72"/>
      <c r="BT772" s="72"/>
      <c r="BU772" s="72"/>
      <c r="BV772" s="72"/>
      <c r="BW772" s="72"/>
      <c r="BX772" s="72"/>
      <c r="BY772" s="72"/>
      <c r="BZ772" s="72"/>
      <c r="CA772" s="72"/>
      <c r="CB772" s="72"/>
      <c r="CC772" s="72"/>
      <c r="CD772" s="72"/>
      <c r="CE772" s="72"/>
      <c r="CF772" s="72"/>
      <c r="CG772" s="72"/>
      <c r="CH772" s="72"/>
      <c r="CI772" s="72"/>
      <c r="CJ772" s="72"/>
      <c r="CK772" s="72"/>
      <c r="CL772" s="72"/>
      <c r="CM772" s="72"/>
      <c r="CN772" s="72"/>
      <c r="CO772" s="72"/>
      <c r="CP772" s="72"/>
      <c r="CQ772" s="72"/>
      <c r="CR772" s="72"/>
      <c r="CS772" s="72"/>
    </row>
    <row r="773" spans="1:97" ht="12.75" customHeight="1">
      <c r="J773" s="1775"/>
      <c r="K773" s="1776"/>
      <c r="L773" s="1776"/>
      <c r="M773" s="1776"/>
      <c r="N773" s="1777"/>
      <c r="O773" s="1778"/>
      <c r="P773" s="1778"/>
      <c r="Q773" s="1778"/>
      <c r="R773" s="1778"/>
      <c r="S773" s="1778"/>
      <c r="T773" s="1764"/>
      <c r="U773" s="1765"/>
      <c r="V773" s="1765"/>
      <c r="W773" s="1766"/>
      <c r="X773" s="1767"/>
      <c r="Y773" s="1768"/>
      <c r="Z773" s="1768"/>
      <c r="AA773" s="1768"/>
      <c r="AB773" s="1769"/>
      <c r="AC773" s="1770">
        <f t="shared" si="32"/>
        <v>0</v>
      </c>
      <c r="AD773" s="1771"/>
      <c r="AE773" s="1771"/>
      <c r="AF773" s="1771"/>
      <c r="AG773" s="1772"/>
      <c r="AL773" s="72"/>
      <c r="AM773" s="72"/>
      <c r="AN773" s="72"/>
      <c r="AO773" s="72"/>
      <c r="AP773" s="72"/>
      <c r="AQ773" s="72"/>
      <c r="AR773" s="72"/>
      <c r="AS773" s="72"/>
      <c r="AT773" s="72"/>
      <c r="AU773" s="72"/>
      <c r="AV773" s="72"/>
      <c r="AW773" s="72"/>
      <c r="AX773" s="72"/>
      <c r="AY773" s="72"/>
      <c r="AZ773" s="72"/>
      <c r="BA773" s="72"/>
      <c r="BB773" s="72"/>
      <c r="BC773" s="72"/>
      <c r="BD773" s="72"/>
      <c r="BE773" s="72"/>
      <c r="BF773" s="72"/>
      <c r="BG773" s="72"/>
      <c r="BH773" s="72"/>
      <c r="BI773" s="72"/>
      <c r="BJ773" s="72"/>
      <c r="BK773" s="72"/>
      <c r="BL773" s="72"/>
      <c r="BM773" s="72"/>
      <c r="BN773" s="72"/>
      <c r="BO773" s="72"/>
      <c r="BP773" s="72"/>
      <c r="BQ773" s="72"/>
      <c r="BR773" s="72"/>
      <c r="BS773" s="72"/>
      <c r="BT773" s="72"/>
      <c r="BU773" s="72"/>
      <c r="BV773" s="72"/>
      <c r="BW773" s="72"/>
      <c r="BX773" s="72"/>
      <c r="BY773" s="72"/>
      <c r="BZ773" s="72"/>
      <c r="CA773" s="72"/>
      <c r="CB773" s="72"/>
      <c r="CC773" s="72"/>
      <c r="CD773" s="72"/>
      <c r="CE773" s="72"/>
      <c r="CF773" s="72"/>
      <c r="CG773" s="72"/>
      <c r="CH773" s="72"/>
      <c r="CI773" s="72"/>
      <c r="CJ773" s="72"/>
      <c r="CK773" s="72"/>
      <c r="CL773" s="72"/>
      <c r="CM773" s="72"/>
      <c r="CN773" s="72"/>
      <c r="CO773" s="72"/>
      <c r="CP773" s="72"/>
      <c r="CQ773" s="72"/>
      <c r="CR773" s="72"/>
      <c r="CS773" s="72"/>
    </row>
    <row r="774" spans="1:97" ht="14.1" customHeight="1">
      <c r="J774" s="1848" t="s">
        <v>976</v>
      </c>
      <c r="K774" s="1849"/>
      <c r="L774" s="1849"/>
      <c r="M774" s="1849"/>
      <c r="N774" s="1851"/>
      <c r="O774" s="2175">
        <f>SUM(O764:S773)</f>
        <v>0</v>
      </c>
      <c r="P774" s="2175"/>
      <c r="Q774" s="2175"/>
      <c r="R774" s="2175"/>
      <c r="S774" s="2175"/>
      <c r="X774" s="1463" t="s">
        <v>975</v>
      </c>
      <c r="Y774" s="255"/>
      <c r="Z774" s="255"/>
      <c r="AA774" s="255"/>
      <c r="AB774" s="1464"/>
      <c r="AC774" s="1770">
        <f>SUM(AC764:AG773)</f>
        <v>0</v>
      </c>
      <c r="AD774" s="1771"/>
      <c r="AE774" s="1771"/>
      <c r="AF774" s="1771"/>
      <c r="AG774" s="1772"/>
      <c r="AL774" s="72"/>
      <c r="AM774" s="72"/>
      <c r="AN774" s="72"/>
      <c r="AO774" s="72"/>
      <c r="AP774" s="72"/>
      <c r="AQ774" s="72"/>
      <c r="AR774" s="72"/>
      <c r="AS774" s="72"/>
      <c r="AT774" s="72"/>
      <c r="AU774" s="72"/>
      <c r="AV774" s="72"/>
      <c r="AW774" s="72"/>
      <c r="AX774" s="72"/>
      <c r="AY774" s="72"/>
      <c r="AZ774" s="72"/>
      <c r="BA774" s="72"/>
      <c r="BB774" s="72"/>
      <c r="BC774" s="72"/>
      <c r="BD774" s="72"/>
      <c r="BE774" s="72"/>
      <c r="BF774" s="72"/>
      <c r="BG774" s="72"/>
      <c r="BH774" s="72"/>
      <c r="BI774" s="72"/>
      <c r="BJ774" s="72"/>
      <c r="BK774" s="72"/>
      <c r="BL774" s="72"/>
      <c r="BM774" s="72"/>
      <c r="BN774" s="72"/>
      <c r="BO774" s="72"/>
      <c r="BP774" s="72"/>
      <c r="BQ774" s="72"/>
      <c r="BR774" s="72"/>
      <c r="BS774" s="72"/>
      <c r="BT774" s="72"/>
      <c r="BU774" s="72"/>
      <c r="BV774" s="72"/>
      <c r="BW774" s="72"/>
      <c r="BX774" s="72"/>
      <c r="BY774" s="72"/>
      <c r="BZ774" s="72"/>
      <c r="CA774" s="72"/>
      <c r="CB774" s="72"/>
      <c r="CC774" s="72"/>
      <c r="CD774" s="72"/>
      <c r="CE774" s="72"/>
      <c r="CF774" s="72"/>
      <c r="CG774" s="72"/>
      <c r="CH774" s="72"/>
      <c r="CI774" s="72"/>
      <c r="CJ774" s="72"/>
      <c r="CK774" s="72"/>
      <c r="CL774" s="72"/>
      <c r="CM774" s="72"/>
      <c r="CN774" s="72"/>
      <c r="CO774" s="72"/>
      <c r="CP774" s="72"/>
      <c r="CQ774" s="72"/>
      <c r="CR774" s="72"/>
      <c r="CS774" s="72"/>
    </row>
    <row r="775" spans="1:97" ht="12.75" customHeight="1">
      <c r="AL775" s="72"/>
      <c r="AM775" s="72"/>
      <c r="AN775" s="72"/>
      <c r="AO775" s="72"/>
      <c r="AP775" s="72"/>
      <c r="AQ775" s="72"/>
      <c r="AR775" s="72"/>
      <c r="AS775" s="72"/>
      <c r="AT775" s="72"/>
      <c r="AU775" s="72"/>
      <c r="AV775" s="72"/>
      <c r="AW775" s="72"/>
      <c r="AX775" s="72"/>
      <c r="AY775" s="72"/>
      <c r="AZ775" s="72"/>
      <c r="BA775" s="72"/>
      <c r="BB775" s="72"/>
      <c r="BC775" s="72"/>
      <c r="BD775" s="72"/>
      <c r="BE775" s="72"/>
      <c r="BF775" s="72"/>
      <c r="BG775" s="72"/>
      <c r="BH775" s="72"/>
      <c r="BI775" s="72"/>
      <c r="BJ775" s="72"/>
      <c r="BK775" s="72"/>
      <c r="BL775" s="72"/>
      <c r="BM775" s="72"/>
      <c r="BN775" s="72"/>
      <c r="BO775" s="72"/>
      <c r="BP775" s="72"/>
      <c r="BQ775" s="72"/>
      <c r="BR775" s="72"/>
      <c r="BS775" s="72"/>
      <c r="BT775" s="72"/>
      <c r="BU775" s="72"/>
      <c r="BV775" s="72"/>
      <c r="BW775" s="72"/>
      <c r="BX775" s="72"/>
      <c r="BY775" s="72"/>
      <c r="BZ775" s="72"/>
      <c r="CA775" s="72"/>
      <c r="CB775" s="72"/>
      <c r="CC775" s="72"/>
      <c r="CD775" s="72"/>
      <c r="CE775" s="72"/>
      <c r="CF775" s="72"/>
      <c r="CG775" s="72"/>
      <c r="CH775" s="72"/>
      <c r="CI775" s="72"/>
      <c r="CJ775" s="72"/>
      <c r="CK775" s="72"/>
      <c r="CL775" s="72"/>
      <c r="CM775" s="72"/>
      <c r="CN775" s="72"/>
      <c r="CO775" s="72"/>
      <c r="CP775" s="72"/>
      <c r="CQ775" s="72"/>
      <c r="CR775" s="72"/>
      <c r="CS775" s="72"/>
    </row>
    <row r="776" spans="1:97" ht="12.75" customHeight="1">
      <c r="J776" s="90"/>
      <c r="K776" s="91"/>
      <c r="L776" s="91"/>
      <c r="M776" s="91"/>
      <c r="N776" s="91"/>
      <c r="O776" s="91"/>
      <c r="P776" s="91"/>
      <c r="Q776" s="91"/>
      <c r="R776" s="91"/>
      <c r="S776" s="91"/>
      <c r="T776" s="91"/>
      <c r="U776" s="91"/>
      <c r="V776" s="91"/>
      <c r="W776" s="91"/>
      <c r="X776" s="100" t="s">
        <v>851</v>
      </c>
      <c r="Y776" s="2113">
        <f>T729+AC754+AC774</f>
        <v>20317</v>
      </c>
      <c r="Z776" s="2113"/>
      <c r="AA776" s="2113"/>
      <c r="AB776" s="2113"/>
      <c r="AC776" s="2113"/>
      <c r="AL776" s="72"/>
      <c r="AM776" s="72"/>
      <c r="AN776" s="72"/>
      <c r="AO776" s="72"/>
      <c r="AP776" s="72"/>
      <c r="AQ776" s="72"/>
      <c r="AR776" s="72"/>
      <c r="AS776" s="72"/>
      <c r="AT776" s="72"/>
      <c r="AU776" s="72"/>
      <c r="AV776" s="72"/>
      <c r="AW776" s="72"/>
      <c r="AX776" s="72"/>
      <c r="AY776" s="72"/>
      <c r="AZ776" s="72"/>
      <c r="BA776" s="72"/>
      <c r="BB776" s="72"/>
      <c r="BC776" s="72"/>
      <c r="BD776" s="72"/>
      <c r="BE776" s="72"/>
      <c r="BF776" s="72"/>
      <c r="BG776" s="72"/>
      <c r="BH776" s="72"/>
      <c r="BI776" s="72"/>
      <c r="BJ776" s="72"/>
      <c r="BK776" s="72"/>
      <c r="BL776" s="72"/>
      <c r="BM776" s="72"/>
      <c r="BN776" s="72"/>
      <c r="BO776" s="72"/>
      <c r="BP776" s="72"/>
      <c r="BQ776" s="72"/>
      <c r="BR776" s="72"/>
      <c r="BS776" s="72"/>
      <c r="BT776" s="72"/>
      <c r="BU776" s="72"/>
      <c r="BV776" s="72"/>
      <c r="BW776" s="72"/>
      <c r="BX776" s="72"/>
      <c r="BY776" s="72"/>
      <c r="BZ776" s="72"/>
      <c r="CA776" s="72"/>
      <c r="CB776" s="72"/>
      <c r="CC776" s="72"/>
      <c r="CD776" s="72"/>
      <c r="CE776" s="72"/>
      <c r="CF776" s="72"/>
      <c r="CG776" s="72"/>
      <c r="CH776" s="72"/>
      <c r="CI776" s="72"/>
      <c r="CJ776" s="72"/>
      <c r="CK776" s="72"/>
      <c r="CL776" s="72"/>
      <c r="CM776" s="72"/>
      <c r="CN776" s="72"/>
      <c r="CO776" s="72"/>
      <c r="CP776" s="72"/>
      <c r="CQ776" s="72"/>
      <c r="CR776" s="72"/>
      <c r="CS776" s="72"/>
    </row>
    <row r="777" spans="1:97" ht="12.75" customHeight="1">
      <c r="J777" s="93"/>
      <c r="K777" s="94"/>
      <c r="L777" s="94"/>
      <c r="M777" s="94"/>
      <c r="N777" s="94"/>
      <c r="O777" s="94"/>
      <c r="P777" s="94"/>
      <c r="Q777" s="94"/>
      <c r="R777" s="94"/>
      <c r="S777" s="94"/>
      <c r="T777" s="94"/>
      <c r="U777" s="94"/>
      <c r="V777" s="94"/>
      <c r="W777" s="94"/>
      <c r="X777" s="258" t="s">
        <v>852</v>
      </c>
      <c r="Y777" s="2113">
        <f>(T729+AC754+AC774)*12</f>
        <v>243804</v>
      </c>
      <c r="Z777" s="2113"/>
      <c r="AA777" s="2113"/>
      <c r="AB777" s="2113"/>
      <c r="AC777" s="2113"/>
      <c r="AL777" s="72"/>
      <c r="AM777" s="72"/>
      <c r="AN777" s="72"/>
      <c r="AO777" s="72"/>
      <c r="AP777" s="72"/>
      <c r="AQ777" s="72"/>
      <c r="AR777" s="72"/>
      <c r="AS777" s="72"/>
      <c r="AT777" s="72"/>
      <c r="AU777" s="72"/>
      <c r="AV777" s="72"/>
      <c r="AW777" s="72"/>
      <c r="AX777" s="72"/>
      <c r="AY777" s="72"/>
      <c r="AZ777" s="72"/>
      <c r="BA777" s="72"/>
      <c r="BB777" s="72"/>
      <c r="BC777" s="72"/>
      <c r="BD777" s="72"/>
      <c r="BE777" s="72"/>
      <c r="BF777" s="72"/>
      <c r="BG777" s="72"/>
      <c r="BH777" s="72"/>
      <c r="BI777" s="72"/>
      <c r="BJ777" s="72"/>
      <c r="BK777" s="72"/>
      <c r="BL777" s="72"/>
      <c r="BM777" s="72"/>
      <c r="BN777" s="72"/>
      <c r="BO777" s="72"/>
      <c r="BP777" s="72"/>
      <c r="BQ777" s="72"/>
      <c r="BR777" s="72"/>
      <c r="BS777" s="72"/>
      <c r="BT777" s="72"/>
      <c r="BU777" s="72"/>
      <c r="BV777" s="72"/>
      <c r="BW777" s="72"/>
      <c r="BX777" s="72"/>
      <c r="BY777" s="72"/>
      <c r="BZ777" s="72"/>
      <c r="CA777" s="72"/>
      <c r="CB777" s="72"/>
      <c r="CC777" s="72"/>
      <c r="CD777" s="72"/>
      <c r="CE777" s="72"/>
      <c r="CF777" s="72"/>
      <c r="CG777" s="72"/>
      <c r="CH777" s="72"/>
      <c r="CI777" s="72"/>
      <c r="CJ777" s="72"/>
      <c r="CK777" s="72"/>
      <c r="CL777" s="72"/>
      <c r="CM777" s="72"/>
      <c r="CN777" s="72"/>
      <c r="CO777" s="72"/>
      <c r="CP777" s="72"/>
      <c r="CQ777" s="72"/>
      <c r="CR777" s="72"/>
      <c r="CS777" s="72"/>
    </row>
    <row r="778" spans="1:97" ht="12.75" customHeight="1">
      <c r="B778" s="63"/>
      <c r="X778" s="21"/>
      <c r="Y778" s="21"/>
      <c r="Z778" s="21"/>
      <c r="AA778" s="21"/>
      <c r="AB778" s="21"/>
      <c r="AC778" s="21"/>
      <c r="AD778" s="21"/>
      <c r="AM778" s="72"/>
      <c r="AN778" s="72"/>
      <c r="AO778" s="72"/>
      <c r="AP778" s="72"/>
      <c r="AQ778" s="72"/>
      <c r="AR778" s="72"/>
      <c r="AS778" s="72"/>
      <c r="AT778" s="72"/>
      <c r="AU778" s="72"/>
      <c r="AV778" s="72"/>
      <c r="AW778" s="72"/>
      <c r="AX778" s="72"/>
      <c r="AY778" s="72"/>
      <c r="AZ778" s="72"/>
      <c r="BA778" s="72"/>
      <c r="BB778" s="72"/>
      <c r="BC778" s="72"/>
      <c r="BD778" s="72"/>
      <c r="BE778" s="72"/>
      <c r="BF778" s="72"/>
      <c r="BG778" s="72"/>
      <c r="BH778" s="72"/>
      <c r="BI778" s="72"/>
      <c r="BJ778" s="72"/>
      <c r="BK778" s="72"/>
      <c r="BL778" s="72"/>
      <c r="BM778" s="72"/>
      <c r="BN778" s="72"/>
      <c r="BO778" s="72"/>
      <c r="BP778" s="72"/>
      <c r="BQ778" s="72"/>
      <c r="BR778" s="72"/>
      <c r="BS778" s="72"/>
      <c r="BT778" s="72"/>
      <c r="BU778" s="72"/>
      <c r="BV778" s="72"/>
      <c r="BW778" s="72"/>
      <c r="BX778" s="72"/>
      <c r="BY778" s="72"/>
      <c r="BZ778" s="72"/>
      <c r="CA778" s="72"/>
      <c r="CB778" s="72"/>
      <c r="CC778" s="72"/>
      <c r="CD778" s="72"/>
      <c r="CE778" s="72"/>
      <c r="CF778" s="72"/>
      <c r="CG778" s="72"/>
      <c r="CH778" s="72"/>
      <c r="CI778" s="72"/>
      <c r="CJ778" s="72"/>
      <c r="CK778" s="72"/>
      <c r="CL778" s="72"/>
      <c r="CM778" s="72"/>
      <c r="CN778" s="72"/>
      <c r="CO778" s="72"/>
      <c r="CP778" s="72"/>
      <c r="CQ778" s="72"/>
      <c r="CR778" s="72"/>
      <c r="CS778" s="72"/>
    </row>
    <row r="779" spans="1:97" ht="14.1" customHeight="1">
      <c r="A779" s="63" t="s">
        <v>134</v>
      </c>
      <c r="B779" s="63"/>
      <c r="C779" s="63" t="s">
        <v>168</v>
      </c>
      <c r="X779" s="21"/>
      <c r="Y779" s="21"/>
      <c r="Z779" s="21"/>
      <c r="AA779" s="21"/>
      <c r="AB779" s="21"/>
      <c r="AC779" s="21"/>
      <c r="AD779" s="21"/>
      <c r="AM779" s="72"/>
      <c r="AN779" s="72"/>
      <c r="AO779" s="72"/>
      <c r="AP779" s="72"/>
      <c r="AQ779" s="72"/>
      <c r="AR779" s="72"/>
      <c r="AS779" s="72"/>
      <c r="AT779" s="72"/>
      <c r="AU779" s="72"/>
      <c r="AV779" s="72"/>
      <c r="AW779" s="72"/>
      <c r="AX779" s="72"/>
      <c r="AY779" s="72"/>
      <c r="AZ779" s="72"/>
      <c r="BA779" s="72"/>
      <c r="BB779" s="72"/>
      <c r="BC779" s="72"/>
      <c r="BD779" s="72"/>
      <c r="BE779" s="72"/>
      <c r="BF779" s="72"/>
      <c r="BG779" s="72"/>
      <c r="BH779" s="72"/>
      <c r="BI779" s="72"/>
      <c r="BJ779" s="72"/>
      <c r="BK779" s="72"/>
      <c r="BL779" s="72"/>
      <c r="BM779" s="72"/>
      <c r="BN779" s="72"/>
      <c r="BO779" s="72"/>
      <c r="BP779" s="72"/>
      <c r="BQ779" s="72"/>
      <c r="BR779" s="72"/>
      <c r="BS779" s="72"/>
      <c r="BT779" s="72"/>
      <c r="BU779" s="72"/>
      <c r="BV779" s="72"/>
      <c r="BW779" s="72"/>
      <c r="BX779" s="72"/>
      <c r="BY779" s="72"/>
      <c r="BZ779" s="72"/>
      <c r="CA779" s="72"/>
      <c r="CB779" s="72"/>
      <c r="CC779" s="72"/>
      <c r="CD779" s="72"/>
      <c r="CE779" s="72"/>
      <c r="CF779" s="72"/>
      <c r="CG779" s="72"/>
      <c r="CH779" s="72"/>
      <c r="CI779" s="72"/>
      <c r="CJ779" s="72"/>
      <c r="CK779" s="72"/>
      <c r="CL779" s="72"/>
      <c r="CM779" s="72"/>
      <c r="CN779" s="72"/>
      <c r="CO779" s="72"/>
      <c r="CP779" s="72"/>
      <c r="CQ779" s="72"/>
      <c r="CR779" s="72"/>
      <c r="CS779" s="72"/>
    </row>
    <row r="780" spans="1:97" ht="12.75" customHeight="1">
      <c r="A780" s="63"/>
      <c r="B780" s="63"/>
      <c r="C780" s="63" t="s">
        <v>1299</v>
      </c>
      <c r="X780" s="21"/>
      <c r="Y780" s="21"/>
      <c r="Z780" s="21"/>
      <c r="AA780" s="21"/>
      <c r="AB780" s="21"/>
      <c r="AC780" s="21"/>
      <c r="AD780" s="21"/>
      <c r="AM780" s="72"/>
      <c r="AN780" s="72"/>
      <c r="AO780" s="72"/>
      <c r="AP780" s="72"/>
      <c r="AQ780" s="72"/>
      <c r="AR780" s="72"/>
      <c r="AS780" s="72"/>
      <c r="AT780" s="72"/>
      <c r="AU780" s="72"/>
      <c r="AV780" s="72"/>
      <c r="AW780" s="72"/>
      <c r="AX780" s="72"/>
      <c r="AY780" s="72"/>
      <c r="AZ780" s="72"/>
      <c r="BA780" s="72"/>
      <c r="BB780" s="72"/>
      <c r="BC780" s="72"/>
      <c r="BD780" s="72"/>
      <c r="BE780" s="72"/>
      <c r="BF780" s="72"/>
      <c r="BG780" s="72"/>
      <c r="BH780" s="72"/>
      <c r="BI780" s="72"/>
      <c r="BJ780" s="72"/>
      <c r="BK780" s="72"/>
      <c r="BL780" s="72"/>
      <c r="BM780" s="72"/>
      <c r="BN780" s="72"/>
      <c r="BO780" s="72"/>
      <c r="BP780" s="72"/>
      <c r="BQ780" s="72"/>
      <c r="BR780" s="72"/>
      <c r="BS780" s="72"/>
      <c r="BT780" s="72"/>
      <c r="BU780" s="72"/>
      <c r="BV780" s="72"/>
      <c r="BW780" s="72"/>
      <c r="BX780" s="72"/>
      <c r="BY780" s="72"/>
      <c r="BZ780" s="72"/>
      <c r="CA780" s="72"/>
      <c r="CB780" s="72"/>
      <c r="CC780" s="72"/>
      <c r="CD780" s="72"/>
      <c r="CE780" s="72"/>
      <c r="CF780" s="72"/>
      <c r="CG780" s="72"/>
      <c r="CH780" s="72"/>
      <c r="CI780" s="72"/>
      <c r="CJ780" s="72"/>
      <c r="CK780" s="72"/>
      <c r="CL780" s="72"/>
      <c r="CM780" s="72"/>
      <c r="CN780" s="72"/>
      <c r="CO780" s="72"/>
      <c r="CP780" s="72"/>
      <c r="CQ780" s="72"/>
      <c r="CR780" s="72"/>
      <c r="CS780" s="72"/>
    </row>
    <row r="781" spans="1:97" ht="13.2">
      <c r="B781" s="63"/>
      <c r="X781" s="21"/>
      <c r="Y781" s="21"/>
      <c r="Z781" s="21"/>
      <c r="AA781" s="21"/>
      <c r="AB781" s="21"/>
      <c r="AC781" s="21"/>
      <c r="AD781" s="21"/>
      <c r="AM781" s="72"/>
      <c r="AN781" s="72"/>
      <c r="AO781" s="72"/>
      <c r="AP781" s="72"/>
      <c r="AQ781" s="72"/>
      <c r="AR781" s="72"/>
      <c r="AS781" s="72"/>
      <c r="AT781" s="72"/>
      <c r="AU781" s="72"/>
      <c r="AV781" s="72"/>
      <c r="AW781" s="72"/>
      <c r="AX781" s="72"/>
      <c r="AY781" s="72"/>
      <c r="AZ781" s="72"/>
      <c r="BA781" s="72"/>
      <c r="BB781" s="72"/>
      <c r="BC781" s="72"/>
      <c r="BD781" s="72"/>
      <c r="BE781" s="72"/>
      <c r="BF781" s="72"/>
      <c r="BG781" s="72"/>
      <c r="BH781" s="72"/>
      <c r="BI781" s="72"/>
      <c r="BJ781" s="72"/>
      <c r="BK781" s="72"/>
      <c r="BL781" s="72"/>
      <c r="BM781" s="72"/>
      <c r="BN781" s="72"/>
      <c r="BO781" s="72"/>
      <c r="BP781" s="72"/>
      <c r="BQ781" s="72"/>
      <c r="BR781" s="72"/>
      <c r="BS781" s="72"/>
      <c r="BT781" s="72"/>
      <c r="BU781" s="72"/>
      <c r="BV781" s="72"/>
      <c r="BW781" s="72"/>
      <c r="BX781" s="72"/>
      <c r="BY781" s="72"/>
      <c r="BZ781" s="72"/>
      <c r="CA781" s="72"/>
      <c r="CB781" s="72"/>
      <c r="CC781" s="72"/>
      <c r="CD781" s="72"/>
      <c r="CE781" s="72"/>
      <c r="CF781" s="72"/>
      <c r="CG781" s="72"/>
      <c r="CH781" s="72"/>
      <c r="CI781" s="72"/>
      <c r="CJ781" s="72"/>
      <c r="CK781" s="72"/>
      <c r="CL781" s="72"/>
      <c r="CM781" s="72"/>
      <c r="CN781" s="72"/>
      <c r="CO781" s="72"/>
      <c r="CP781" s="72"/>
      <c r="CQ781" s="72"/>
      <c r="CR781" s="72"/>
      <c r="CS781" s="72"/>
    </row>
    <row r="782" spans="1:97" ht="12.75" customHeight="1">
      <c r="H782" s="90" t="s">
        <v>363</v>
      </c>
      <c r="I782" s="91"/>
      <c r="J782" s="91"/>
      <c r="K782" s="91"/>
      <c r="L782" s="91"/>
      <c r="M782" s="91"/>
      <c r="N782" s="91"/>
      <c r="O782" s="91"/>
      <c r="P782" s="91"/>
      <c r="Q782" s="91"/>
      <c r="R782" s="91"/>
      <c r="S782" s="91"/>
      <c r="T782" s="91"/>
      <c r="U782" s="91"/>
      <c r="V782" s="91"/>
      <c r="W782" s="91"/>
      <c r="X782" s="91"/>
      <c r="Y782" s="91"/>
      <c r="Z782" s="1994">
        <v>40</v>
      </c>
      <c r="AA782" s="1985"/>
      <c r="AB782" s="1985"/>
      <c r="AC782" s="1985"/>
      <c r="AD782" s="1985"/>
      <c r="AE782" s="1986"/>
      <c r="AM782" s="72"/>
      <c r="AN782" s="72"/>
      <c r="AO782" s="72"/>
      <c r="AP782" s="72"/>
      <c r="AQ782" s="72"/>
      <c r="AR782" s="72"/>
      <c r="AS782" s="72"/>
      <c r="AT782" s="72"/>
      <c r="AU782" s="72"/>
      <c r="AV782" s="72"/>
      <c r="AW782" s="72"/>
      <c r="AX782" s="72"/>
      <c r="AY782" s="72"/>
      <c r="AZ782" s="72"/>
      <c r="BA782" s="72"/>
      <c r="BB782" s="72"/>
      <c r="BC782" s="72"/>
      <c r="BD782" s="72"/>
      <c r="BE782" s="72"/>
      <c r="BF782" s="72"/>
      <c r="BG782" s="72"/>
      <c r="BH782" s="72"/>
      <c r="BI782" s="72"/>
      <c r="BJ782" s="72"/>
      <c r="BK782" s="72"/>
      <c r="BL782" s="72"/>
      <c r="BM782" s="72"/>
      <c r="BN782" s="72"/>
      <c r="BO782" s="72"/>
      <c r="BP782" s="72"/>
      <c r="BQ782" s="72"/>
      <c r="BR782" s="72"/>
      <c r="BS782" s="72"/>
      <c r="BT782" s="72"/>
      <c r="BU782" s="72"/>
      <c r="BV782" s="72"/>
      <c r="BW782" s="72"/>
      <c r="BX782" s="72"/>
      <c r="BY782" s="72"/>
      <c r="BZ782" s="72"/>
      <c r="CA782" s="72"/>
      <c r="CB782" s="72"/>
      <c r="CC782" s="72"/>
      <c r="CD782" s="72"/>
      <c r="CE782" s="72"/>
      <c r="CF782" s="72"/>
      <c r="CG782" s="72"/>
      <c r="CH782" s="72"/>
      <c r="CI782" s="72"/>
      <c r="CJ782" s="72"/>
      <c r="CK782" s="72"/>
      <c r="CL782" s="72"/>
      <c r="CM782" s="72"/>
      <c r="CN782" s="72"/>
      <c r="CO782" s="72"/>
      <c r="CP782" s="72"/>
      <c r="CQ782" s="72"/>
      <c r="CR782" s="72"/>
      <c r="CS782" s="72"/>
    </row>
    <row r="783" spans="1:97" ht="12.75" customHeight="1">
      <c r="H783" s="90" t="s">
        <v>364</v>
      </c>
      <c r="I783" s="91"/>
      <c r="J783" s="91"/>
      <c r="K783" s="91"/>
      <c r="L783" s="91"/>
      <c r="M783" s="91"/>
      <c r="N783" s="91"/>
      <c r="O783" s="91"/>
      <c r="P783" s="91"/>
      <c r="Q783" s="91"/>
      <c r="R783" s="91"/>
      <c r="S783" s="91"/>
      <c r="T783" s="91"/>
      <c r="U783" s="91"/>
      <c r="V783" s="91"/>
      <c r="W783" s="91"/>
      <c r="X783" s="91"/>
      <c r="Y783" s="91"/>
      <c r="Z783" s="1984">
        <v>20</v>
      </c>
      <c r="AA783" s="1985"/>
      <c r="AB783" s="1985"/>
      <c r="AC783" s="1985"/>
      <c r="AD783" s="1985"/>
      <c r="AE783" s="1986"/>
      <c r="AM783" s="72"/>
      <c r="AN783" s="72"/>
      <c r="AO783" s="72"/>
      <c r="AP783" s="72"/>
      <c r="AQ783" s="72"/>
      <c r="AR783" s="72"/>
      <c r="AS783" s="72"/>
      <c r="AT783" s="72"/>
      <c r="AU783" s="72"/>
      <c r="AV783" s="72"/>
      <c r="AW783" s="72"/>
      <c r="AX783" s="72"/>
      <c r="AY783" s="72"/>
      <c r="AZ783" s="72"/>
      <c r="BA783" s="72"/>
      <c r="BB783" s="72"/>
      <c r="BC783" s="72"/>
      <c r="BD783" s="72"/>
      <c r="BE783" s="72"/>
      <c r="BF783" s="72"/>
      <c r="BG783" s="72"/>
      <c r="BH783" s="72"/>
      <c r="BI783" s="72"/>
      <c r="BJ783" s="72"/>
      <c r="BK783" s="72"/>
      <c r="BL783" s="72"/>
      <c r="BM783" s="72"/>
      <c r="BN783" s="72"/>
      <c r="BO783" s="72"/>
      <c r="BP783" s="72"/>
      <c r="BQ783" s="72"/>
      <c r="BR783" s="72"/>
      <c r="BS783" s="72"/>
      <c r="BT783" s="72"/>
      <c r="BU783" s="72"/>
      <c r="BV783" s="72"/>
      <c r="BW783" s="72"/>
      <c r="BX783" s="72"/>
      <c r="BY783" s="72"/>
      <c r="BZ783" s="72"/>
      <c r="CA783" s="72"/>
      <c r="CB783" s="72"/>
      <c r="CC783" s="72"/>
      <c r="CD783" s="72"/>
      <c r="CE783" s="72"/>
      <c r="CF783" s="72"/>
      <c r="CG783" s="72"/>
      <c r="CH783" s="72"/>
      <c r="CI783" s="72"/>
      <c r="CJ783" s="72"/>
      <c r="CK783" s="72"/>
      <c r="CL783" s="72"/>
      <c r="CM783" s="72"/>
      <c r="CN783" s="72"/>
      <c r="CO783" s="72"/>
      <c r="CP783" s="72"/>
      <c r="CQ783" s="72"/>
      <c r="CR783" s="72"/>
      <c r="CS783" s="72"/>
    </row>
    <row r="784" spans="1:97" ht="12.75" customHeight="1">
      <c r="H784" s="90" t="s">
        <v>755</v>
      </c>
      <c r="I784" s="91"/>
      <c r="J784" s="91"/>
      <c r="K784" s="91"/>
      <c r="L784" s="91"/>
      <c r="M784" s="91"/>
      <c r="N784" s="91"/>
      <c r="O784" s="91"/>
      <c r="P784" s="91"/>
      <c r="Q784" s="91"/>
      <c r="R784" s="91"/>
      <c r="S784" s="91"/>
      <c r="T784" s="91"/>
      <c r="U784" s="91"/>
      <c r="V784" s="91"/>
      <c r="W784" s="91"/>
      <c r="X784" s="91"/>
      <c r="Y784" s="91"/>
      <c r="Z784" s="1998">
        <v>52291</v>
      </c>
      <c r="AA784" s="1922"/>
      <c r="AB784" s="1922"/>
      <c r="AC784" s="1922"/>
      <c r="AD784" s="1922"/>
      <c r="AE784" s="1999"/>
      <c r="AM784" s="72"/>
      <c r="AN784" s="72"/>
      <c r="AO784" s="72"/>
      <c r="AP784" s="72"/>
      <c r="AQ784" s="72"/>
      <c r="AR784" s="72"/>
      <c r="AS784" s="72"/>
      <c r="AT784" s="72"/>
      <c r="AU784" s="72"/>
      <c r="AV784" s="72"/>
      <c r="AW784" s="72"/>
      <c r="AX784" s="72"/>
      <c r="AY784" s="72"/>
      <c r="AZ784" s="72"/>
      <c r="BA784" s="72"/>
      <c r="BB784" s="72"/>
      <c r="BC784" s="72"/>
      <c r="BD784" s="72"/>
      <c r="BE784" s="72"/>
      <c r="BF784" s="72"/>
      <c r="BG784" s="72"/>
      <c r="BH784" s="72"/>
      <c r="BI784" s="72"/>
      <c r="BJ784" s="72"/>
      <c r="BK784" s="72"/>
      <c r="BL784" s="72"/>
      <c r="BM784" s="72"/>
      <c r="BN784" s="72"/>
      <c r="BO784" s="72"/>
      <c r="BP784" s="72"/>
      <c r="BQ784" s="72"/>
      <c r="BR784" s="72"/>
      <c r="BS784" s="72"/>
      <c r="BT784" s="72"/>
      <c r="BU784" s="72"/>
      <c r="BV784" s="72"/>
      <c r="BW784" s="72"/>
      <c r="BX784" s="72"/>
      <c r="BY784" s="72"/>
      <c r="BZ784" s="72"/>
      <c r="CA784" s="72"/>
      <c r="CB784" s="72"/>
      <c r="CC784" s="72"/>
      <c r="CD784" s="72"/>
      <c r="CE784" s="72"/>
      <c r="CF784" s="72"/>
      <c r="CG784" s="72"/>
      <c r="CH784" s="72"/>
      <c r="CI784" s="72"/>
      <c r="CJ784" s="72"/>
      <c r="CK784" s="72"/>
      <c r="CL784" s="72"/>
      <c r="CM784" s="72"/>
      <c r="CN784" s="72"/>
      <c r="CO784" s="72"/>
      <c r="CP784" s="72"/>
      <c r="CQ784" s="72"/>
      <c r="CR784" s="72"/>
      <c r="CS784" s="72"/>
    </row>
    <row r="785" spans="1:97" ht="12.75" customHeight="1">
      <c r="H785" s="90"/>
      <c r="I785" s="91"/>
      <c r="J785" s="91"/>
      <c r="K785" s="91"/>
      <c r="L785" s="91"/>
      <c r="M785" s="91"/>
      <c r="N785" s="91"/>
      <c r="O785" s="91"/>
      <c r="P785" s="91"/>
      <c r="Q785" s="91"/>
      <c r="R785" s="91"/>
      <c r="S785" s="91"/>
      <c r="T785" s="91"/>
      <c r="U785" s="91"/>
      <c r="V785" s="91"/>
      <c r="W785" s="91"/>
      <c r="X785" s="91"/>
      <c r="Y785" s="99" t="s">
        <v>849</v>
      </c>
      <c r="Z785" s="2192">
        <f>'Subsidy Contract Calculation'!I30</f>
        <v>179640</v>
      </c>
      <c r="AA785" s="2193"/>
      <c r="AB785" s="2193"/>
      <c r="AC785" s="2193"/>
      <c r="AD785" s="2193"/>
      <c r="AE785" s="2194"/>
      <c r="AM785" s="72"/>
      <c r="AN785" s="72"/>
      <c r="AO785" s="72"/>
      <c r="AP785" s="72"/>
      <c r="AQ785" s="72"/>
      <c r="AR785" s="72"/>
      <c r="AS785" s="72"/>
      <c r="AT785" s="72"/>
      <c r="AU785" s="72"/>
      <c r="AV785" s="72"/>
      <c r="AW785" s="72"/>
      <c r="AX785" s="72"/>
      <c r="AY785" s="72"/>
      <c r="AZ785" s="72"/>
      <c r="BA785" s="72"/>
      <c r="BB785" s="72"/>
      <c r="BC785" s="72"/>
      <c r="BD785" s="72"/>
      <c r="BE785" s="72"/>
      <c r="BF785" s="72"/>
      <c r="BG785" s="72"/>
      <c r="BH785" s="72"/>
      <c r="BI785" s="72"/>
      <c r="BJ785" s="72"/>
      <c r="BK785" s="72"/>
      <c r="BL785" s="72"/>
      <c r="BM785" s="72"/>
      <c r="BN785" s="72"/>
      <c r="BO785" s="72"/>
      <c r="BP785" s="72"/>
      <c r="BQ785" s="72"/>
      <c r="BR785" s="72"/>
      <c r="BS785" s="72"/>
      <c r="BT785" s="72"/>
      <c r="BU785" s="72"/>
      <c r="BV785" s="72"/>
      <c r="BW785" s="72"/>
      <c r="BX785" s="72"/>
      <c r="BY785" s="72"/>
      <c r="BZ785" s="72"/>
      <c r="CA785" s="72"/>
      <c r="CB785" s="72"/>
      <c r="CC785" s="72"/>
      <c r="CD785" s="72"/>
      <c r="CE785" s="72"/>
      <c r="CF785" s="72"/>
      <c r="CG785" s="72"/>
      <c r="CH785" s="72"/>
      <c r="CI785" s="72"/>
      <c r="CJ785" s="72"/>
      <c r="CK785" s="72"/>
      <c r="CL785" s="72"/>
      <c r="CM785" s="72"/>
      <c r="CN785" s="72"/>
      <c r="CO785" s="72"/>
      <c r="CP785" s="72"/>
      <c r="CQ785" s="72"/>
      <c r="CR785" s="72"/>
      <c r="CS785" s="72"/>
    </row>
    <row r="786" spans="1:97" ht="12.75" customHeight="1">
      <c r="X786" s="21"/>
      <c r="Y786" s="21"/>
      <c r="Z786" s="21"/>
      <c r="AA786" s="21"/>
      <c r="AB786" s="21"/>
      <c r="AC786" s="21"/>
      <c r="AD786" s="21"/>
      <c r="AM786" s="72"/>
      <c r="AN786" s="72"/>
      <c r="AO786" s="72"/>
      <c r="AP786" s="72"/>
      <c r="AQ786" s="72"/>
      <c r="AR786" s="72"/>
      <c r="AS786" s="72"/>
      <c r="AT786" s="72"/>
      <c r="AU786" s="72"/>
      <c r="AV786" s="72"/>
      <c r="AW786" s="72"/>
      <c r="AX786" s="72"/>
      <c r="AY786" s="72"/>
      <c r="AZ786" s="72"/>
      <c r="BA786" s="72"/>
      <c r="BB786" s="72"/>
      <c r="BC786" s="72"/>
      <c r="BD786" s="72"/>
      <c r="BE786" s="72"/>
      <c r="BF786" s="72"/>
      <c r="BG786" s="72"/>
      <c r="BH786" s="72"/>
      <c r="BI786" s="72"/>
      <c r="BJ786" s="72"/>
      <c r="BK786" s="72"/>
      <c r="BL786" s="72"/>
      <c r="BM786" s="72"/>
      <c r="BN786" s="72"/>
      <c r="BO786" s="72"/>
      <c r="BP786" s="72"/>
      <c r="BQ786" s="72"/>
      <c r="BR786" s="72"/>
      <c r="BS786" s="72"/>
      <c r="BT786" s="72"/>
      <c r="BU786" s="72"/>
      <c r="BV786" s="72"/>
      <c r="BW786" s="72"/>
      <c r="BX786" s="72"/>
      <c r="BY786" s="72"/>
      <c r="BZ786" s="72"/>
      <c r="CA786" s="72"/>
      <c r="CB786" s="72"/>
      <c r="CC786" s="72"/>
      <c r="CD786" s="72"/>
      <c r="CE786" s="72"/>
      <c r="CF786" s="72"/>
      <c r="CG786" s="72"/>
      <c r="CH786" s="72"/>
      <c r="CI786" s="72"/>
      <c r="CJ786" s="72"/>
      <c r="CK786" s="72"/>
      <c r="CL786" s="72"/>
      <c r="CM786" s="72"/>
      <c r="CN786" s="72"/>
      <c r="CO786" s="72"/>
      <c r="CP786" s="72"/>
      <c r="CQ786" s="72"/>
      <c r="CR786" s="72"/>
      <c r="CS786" s="72"/>
    </row>
    <row r="787" spans="1:97" ht="12.75" customHeight="1">
      <c r="A787" s="63" t="s">
        <v>135</v>
      </c>
      <c r="B787" s="63"/>
      <c r="C787" s="63" t="s">
        <v>289</v>
      </c>
      <c r="X787" s="21"/>
      <c r="Y787" s="21"/>
      <c r="Z787" s="21"/>
      <c r="AA787" s="21"/>
      <c r="AB787" s="21"/>
      <c r="AC787" s="21"/>
      <c r="AD787" s="21"/>
      <c r="AM787" s="72"/>
      <c r="AN787" s="72"/>
      <c r="AO787" s="72"/>
      <c r="AP787" s="72"/>
      <c r="AQ787" s="72"/>
      <c r="AR787" s="72"/>
      <c r="AS787" s="72"/>
      <c r="AT787" s="72"/>
      <c r="AU787" s="72"/>
      <c r="AV787" s="72"/>
      <c r="AW787" s="72"/>
      <c r="AX787" s="72"/>
      <c r="AY787" s="72"/>
      <c r="AZ787" s="72"/>
      <c r="BA787" s="72"/>
      <c r="BB787" s="72"/>
      <c r="BC787" s="72"/>
      <c r="BD787" s="72"/>
      <c r="BE787" s="72"/>
      <c r="BF787" s="72"/>
      <c r="BG787" s="72"/>
      <c r="BH787" s="72"/>
      <c r="BI787" s="72"/>
      <c r="BJ787" s="72"/>
      <c r="BK787" s="72"/>
      <c r="BL787" s="72"/>
      <c r="BM787" s="72"/>
      <c r="BN787" s="72"/>
      <c r="BO787" s="72"/>
      <c r="BP787" s="72"/>
      <c r="BQ787" s="72"/>
      <c r="BR787" s="72"/>
      <c r="BS787" s="72"/>
      <c r="BT787" s="72"/>
      <c r="BU787" s="72"/>
      <c r="BV787" s="72"/>
      <c r="BW787" s="72"/>
      <c r="BX787" s="72"/>
      <c r="BY787" s="72"/>
      <c r="BZ787" s="72"/>
      <c r="CA787" s="72"/>
      <c r="CB787" s="72"/>
      <c r="CC787" s="72"/>
      <c r="CD787" s="72"/>
      <c r="CE787" s="72"/>
      <c r="CF787" s="72"/>
      <c r="CG787" s="72"/>
      <c r="CH787" s="72"/>
      <c r="CI787" s="72"/>
      <c r="CJ787" s="72"/>
      <c r="CK787" s="72"/>
      <c r="CL787" s="72"/>
      <c r="CM787" s="72"/>
      <c r="CN787" s="72"/>
      <c r="CO787" s="72"/>
      <c r="CP787" s="72"/>
      <c r="CQ787" s="72"/>
      <c r="CR787" s="72"/>
      <c r="CS787" s="72"/>
    </row>
    <row r="788" spans="1:97" ht="12.75" customHeight="1">
      <c r="X788" s="21"/>
      <c r="Y788" s="21"/>
      <c r="Z788" s="21"/>
      <c r="AA788" s="21"/>
      <c r="AB788" s="21"/>
      <c r="AC788" s="21"/>
      <c r="AD788" s="21"/>
      <c r="AM788" s="72"/>
      <c r="AN788" s="72"/>
      <c r="AO788" s="72"/>
      <c r="AP788" s="72"/>
      <c r="AQ788" s="72"/>
      <c r="AR788" s="72"/>
      <c r="AS788" s="72"/>
      <c r="AT788" s="72"/>
      <c r="AU788" s="72"/>
      <c r="AV788" s="72"/>
      <c r="AW788" s="72"/>
      <c r="AX788" s="72"/>
      <c r="AY788" s="72"/>
      <c r="AZ788" s="72"/>
      <c r="BA788" s="72"/>
      <c r="BB788" s="72"/>
      <c r="BC788" s="72"/>
      <c r="BD788" s="72"/>
      <c r="BE788" s="72"/>
      <c r="BF788" s="72"/>
      <c r="BG788" s="72"/>
      <c r="BH788" s="72"/>
      <c r="BI788" s="72"/>
      <c r="BJ788" s="72"/>
      <c r="BK788" s="72"/>
      <c r="BL788" s="72"/>
      <c r="BM788" s="72"/>
      <c r="BN788" s="72"/>
      <c r="BO788" s="72"/>
      <c r="BP788" s="72"/>
      <c r="BQ788" s="72"/>
      <c r="BR788" s="72"/>
      <c r="BS788" s="72"/>
      <c r="BT788" s="72"/>
      <c r="BU788" s="72"/>
      <c r="BV788" s="72"/>
      <c r="BW788" s="72"/>
      <c r="BX788" s="72"/>
      <c r="BY788" s="72"/>
      <c r="BZ788" s="72"/>
      <c r="CA788" s="72"/>
      <c r="CB788" s="72"/>
      <c r="CC788" s="72"/>
      <c r="CD788" s="72"/>
      <c r="CE788" s="72"/>
      <c r="CF788" s="72"/>
      <c r="CG788" s="72"/>
      <c r="CH788" s="72"/>
      <c r="CI788" s="72"/>
      <c r="CJ788" s="72"/>
      <c r="CK788" s="72"/>
      <c r="CL788" s="72"/>
      <c r="CM788" s="72"/>
      <c r="CN788" s="72"/>
      <c r="CO788" s="72"/>
      <c r="CP788" s="72"/>
      <c r="CQ788" s="72"/>
      <c r="CR788" s="72"/>
      <c r="CS788" s="72"/>
    </row>
    <row r="789" spans="1:97" ht="12.75" customHeight="1">
      <c r="H789" s="90" t="s">
        <v>756</v>
      </c>
      <c r="I789" s="91"/>
      <c r="J789" s="91"/>
      <c r="K789" s="91"/>
      <c r="L789" s="91"/>
      <c r="M789" s="91"/>
      <c r="N789" s="91"/>
      <c r="O789" s="91"/>
      <c r="P789" s="91"/>
      <c r="Q789" s="91"/>
      <c r="R789" s="91"/>
      <c r="S789" s="91"/>
      <c r="T789" s="91"/>
      <c r="U789" s="91"/>
      <c r="V789" s="91"/>
      <c r="W789" s="91"/>
      <c r="X789" s="91"/>
      <c r="Y789" s="91"/>
      <c r="Z789" s="1743">
        <v>4160</v>
      </c>
      <c r="AA789" s="1744"/>
      <c r="AB789" s="1744"/>
      <c r="AC789" s="1744"/>
      <c r="AD789" s="1744"/>
      <c r="AE789" s="1745"/>
      <c r="AM789" s="72"/>
      <c r="AN789" s="72"/>
      <c r="AO789" s="72"/>
      <c r="AP789" s="72"/>
      <c r="AQ789" s="72"/>
      <c r="AR789" s="72"/>
      <c r="AS789" s="72"/>
      <c r="AT789" s="72"/>
      <c r="AU789" s="72"/>
      <c r="AV789" s="72"/>
      <c r="AW789" s="72"/>
      <c r="AX789" s="72"/>
      <c r="AY789" s="72"/>
      <c r="AZ789" s="72"/>
      <c r="BA789" s="72"/>
      <c r="BB789" s="72"/>
      <c r="BC789" s="72"/>
      <c r="BD789" s="72"/>
      <c r="BE789" s="72"/>
      <c r="BF789" s="72"/>
      <c r="BG789" s="72"/>
      <c r="BH789" s="72"/>
      <c r="BI789" s="72"/>
      <c r="BJ789" s="72"/>
      <c r="BK789" s="72"/>
      <c r="BL789" s="72"/>
      <c r="BM789" s="72"/>
      <c r="BN789" s="72"/>
      <c r="BO789" s="72"/>
      <c r="BP789" s="72"/>
      <c r="BQ789" s="72"/>
      <c r="BR789" s="72"/>
      <c r="BS789" s="72"/>
      <c r="BT789" s="72"/>
      <c r="BU789" s="72"/>
      <c r="BV789" s="72"/>
      <c r="BW789" s="72"/>
      <c r="BX789" s="72"/>
      <c r="BY789" s="72"/>
      <c r="BZ789" s="72"/>
      <c r="CA789" s="72"/>
      <c r="CB789" s="72"/>
      <c r="CC789" s="72"/>
      <c r="CD789" s="72"/>
      <c r="CE789" s="72"/>
      <c r="CF789" s="72"/>
      <c r="CG789" s="72"/>
      <c r="CH789" s="72"/>
      <c r="CI789" s="72"/>
      <c r="CJ789" s="72"/>
      <c r="CK789" s="72"/>
      <c r="CL789" s="72"/>
      <c r="CM789" s="72"/>
      <c r="CN789" s="72"/>
      <c r="CO789" s="72"/>
      <c r="CP789" s="72"/>
      <c r="CQ789" s="72"/>
      <c r="CR789" s="72"/>
      <c r="CS789" s="72"/>
    </row>
    <row r="790" spans="1:97" ht="12.75" customHeight="1">
      <c r="H790" s="90" t="s">
        <v>757</v>
      </c>
      <c r="I790" s="91"/>
      <c r="J790" s="91"/>
      <c r="K790" s="91"/>
      <c r="L790" s="91"/>
      <c r="M790" s="91"/>
      <c r="N790" s="91"/>
      <c r="O790" s="91"/>
      <c r="P790" s="91"/>
      <c r="Q790" s="91"/>
      <c r="R790" s="91"/>
      <c r="S790" s="91"/>
      <c r="T790" s="91"/>
      <c r="U790" s="91"/>
      <c r="V790" s="91"/>
      <c r="W790" s="91"/>
      <c r="X790" s="91"/>
      <c r="Y790" s="91"/>
      <c r="Z790" s="1743">
        <v>0</v>
      </c>
      <c r="AA790" s="1744"/>
      <c r="AB790" s="1744"/>
      <c r="AC790" s="1744"/>
      <c r="AD790" s="1744"/>
      <c r="AE790" s="1745"/>
      <c r="AM790" s="72"/>
      <c r="AN790" s="72"/>
      <c r="AO790" s="72"/>
      <c r="AP790" s="72"/>
      <c r="AQ790" s="72"/>
      <c r="AR790" s="72"/>
      <c r="AS790" s="72"/>
      <c r="AT790" s="72"/>
      <c r="AU790" s="72"/>
      <c r="AV790" s="72"/>
      <c r="AW790" s="72"/>
      <c r="AX790" s="72"/>
      <c r="AY790" s="72"/>
      <c r="AZ790" s="72"/>
      <c r="BA790" s="72"/>
      <c r="BB790" s="72"/>
      <c r="BC790" s="72"/>
      <c r="BD790" s="72"/>
      <c r="BE790" s="72"/>
      <c r="BF790" s="72"/>
      <c r="BG790" s="72"/>
      <c r="BH790" s="72"/>
      <c r="BI790" s="72"/>
      <c r="BJ790" s="72"/>
      <c r="BK790" s="72"/>
      <c r="BL790" s="72"/>
      <c r="BM790" s="72"/>
      <c r="BN790" s="72"/>
      <c r="BO790" s="72"/>
      <c r="BP790" s="72"/>
      <c r="BQ790" s="72"/>
      <c r="BR790" s="72"/>
      <c r="BS790" s="72"/>
      <c r="BT790" s="72"/>
      <c r="BU790" s="72"/>
      <c r="BV790" s="72"/>
      <c r="BW790" s="72"/>
      <c r="BX790" s="72"/>
      <c r="BY790" s="72"/>
      <c r="BZ790" s="72"/>
      <c r="CA790" s="72"/>
      <c r="CB790" s="72"/>
      <c r="CC790" s="72"/>
      <c r="CD790" s="72"/>
      <c r="CE790" s="72"/>
      <c r="CF790" s="72"/>
      <c r="CG790" s="72"/>
      <c r="CH790" s="72"/>
      <c r="CI790" s="72"/>
      <c r="CJ790" s="72"/>
      <c r="CK790" s="72"/>
      <c r="CL790" s="72"/>
      <c r="CM790" s="72"/>
      <c r="CN790" s="72"/>
      <c r="CO790" s="72"/>
      <c r="CP790" s="72"/>
      <c r="CQ790" s="72"/>
      <c r="CR790" s="72"/>
      <c r="CS790" s="72"/>
    </row>
    <row r="791" spans="1:97" ht="12.75" customHeight="1">
      <c r="H791" s="90" t="s">
        <v>758</v>
      </c>
      <c r="I791" s="91"/>
      <c r="J791" s="91"/>
      <c r="K791" s="91"/>
      <c r="L791" s="91"/>
      <c r="M791" s="91"/>
      <c r="N791" s="91"/>
      <c r="O791" s="91"/>
      <c r="P791" s="91"/>
      <c r="Q791" s="91"/>
      <c r="R791" s="91"/>
      <c r="S791" s="91"/>
      <c r="T791" s="91"/>
      <c r="U791" s="91"/>
      <c r="V791" s="91"/>
      <c r="W791" s="91"/>
      <c r="X791" s="91"/>
      <c r="Y791" s="91"/>
      <c r="Z791" s="1743">
        <v>0</v>
      </c>
      <c r="AA791" s="1744"/>
      <c r="AB791" s="1744"/>
      <c r="AC791" s="1744"/>
      <c r="AD791" s="1744"/>
      <c r="AE791" s="1745"/>
      <c r="AM791" s="72"/>
      <c r="AN791" s="72"/>
      <c r="AO791" s="72"/>
      <c r="AP791" s="72"/>
      <c r="AQ791" s="72"/>
      <c r="AR791" s="72"/>
      <c r="AS791" s="72"/>
      <c r="AT791" s="72"/>
      <c r="AU791" s="72"/>
      <c r="AV791" s="72"/>
      <c r="AW791" s="72"/>
      <c r="AX791" s="72"/>
      <c r="AY791" s="72"/>
      <c r="AZ791" s="72"/>
      <c r="BA791" s="72"/>
      <c r="BB791" s="72"/>
      <c r="BC791" s="72"/>
      <c r="BD791" s="72"/>
      <c r="BE791" s="72"/>
      <c r="BF791" s="72"/>
      <c r="BG791" s="72"/>
      <c r="BH791" s="72"/>
      <c r="BI791" s="72"/>
      <c r="BJ791" s="72"/>
      <c r="BK791" s="72"/>
      <c r="BL791" s="72"/>
      <c r="BM791" s="72"/>
      <c r="BN791" s="72"/>
      <c r="BO791" s="72"/>
      <c r="BP791" s="72"/>
      <c r="BQ791" s="72"/>
      <c r="BR791" s="72"/>
      <c r="BS791" s="72"/>
      <c r="BT791" s="72"/>
      <c r="BU791" s="72"/>
      <c r="BV791" s="72"/>
      <c r="BW791" s="72"/>
      <c r="BX791" s="72"/>
      <c r="BY791" s="72"/>
      <c r="BZ791" s="72"/>
      <c r="CA791" s="72"/>
      <c r="CB791" s="72"/>
      <c r="CC791" s="72"/>
      <c r="CD791" s="72"/>
      <c r="CE791" s="72"/>
      <c r="CF791" s="72"/>
      <c r="CG791" s="72"/>
      <c r="CH791" s="72"/>
      <c r="CI791" s="72"/>
      <c r="CJ791" s="72"/>
      <c r="CK791" s="72"/>
      <c r="CL791" s="72"/>
      <c r="CM791" s="72"/>
      <c r="CN791" s="72"/>
      <c r="CO791" s="72"/>
      <c r="CP791" s="72"/>
      <c r="CQ791" s="72"/>
      <c r="CR791" s="72"/>
      <c r="CS791" s="72"/>
    </row>
    <row r="792" spans="1:97" ht="12.75" customHeight="1">
      <c r="H792" s="90" t="s">
        <v>759</v>
      </c>
      <c r="I792" s="91"/>
      <c r="J792" s="91"/>
      <c r="K792" s="91"/>
      <c r="L792" s="91"/>
      <c r="M792" s="91"/>
      <c r="N792" s="91"/>
      <c r="O792" s="91"/>
      <c r="P792" s="2195" t="s">
        <v>622</v>
      </c>
      <c r="Q792" s="2103"/>
      <c r="R792" s="2103"/>
      <c r="S792" s="2103"/>
      <c r="T792" s="2103"/>
      <c r="U792" s="2103"/>
      <c r="V792" s="2103"/>
      <c r="W792" s="2103"/>
      <c r="X792" s="2103"/>
      <c r="Y792" s="2104"/>
      <c r="Z792" s="1743"/>
      <c r="AA792" s="1744"/>
      <c r="AB792" s="1744"/>
      <c r="AC792" s="1744"/>
      <c r="AD792" s="1744"/>
      <c r="AE792" s="1745"/>
      <c r="AM792" s="72"/>
      <c r="AN792" s="72"/>
      <c r="AO792" s="72"/>
      <c r="AP792" s="72"/>
      <c r="AQ792" s="72"/>
      <c r="AR792" s="72"/>
      <c r="AS792" s="72"/>
      <c r="AT792" s="72"/>
      <c r="AU792" s="72"/>
      <c r="AV792" s="72"/>
      <c r="AW792" s="72"/>
      <c r="AX792" s="72"/>
      <c r="AY792" s="72"/>
      <c r="AZ792" s="72"/>
      <c r="BA792" s="72"/>
      <c r="BB792" s="72"/>
      <c r="BC792" s="72"/>
      <c r="BD792" s="72"/>
      <c r="BE792" s="72"/>
      <c r="BF792" s="72"/>
      <c r="BG792" s="72"/>
      <c r="BH792" s="72"/>
      <c r="BI792" s="72"/>
      <c r="BJ792" s="72"/>
      <c r="BK792" s="72"/>
      <c r="BL792" s="72"/>
      <c r="BM792" s="72"/>
      <c r="BN792" s="72"/>
      <c r="BO792" s="72"/>
      <c r="BP792" s="72"/>
      <c r="BQ792" s="72"/>
      <c r="BR792" s="72"/>
      <c r="BS792" s="72"/>
      <c r="BT792" s="72"/>
      <c r="BU792" s="72"/>
      <c r="BV792" s="72"/>
      <c r="BW792" s="72"/>
      <c r="BX792" s="72"/>
      <c r="BY792" s="72"/>
      <c r="BZ792" s="72"/>
      <c r="CA792" s="72"/>
      <c r="CB792" s="72"/>
      <c r="CC792" s="72"/>
      <c r="CD792" s="72"/>
      <c r="CE792" s="72"/>
      <c r="CF792" s="72"/>
      <c r="CG792" s="72"/>
      <c r="CH792" s="72"/>
      <c r="CI792" s="72"/>
      <c r="CJ792" s="72"/>
      <c r="CK792" s="72"/>
      <c r="CL792" s="72"/>
      <c r="CM792" s="72"/>
      <c r="CN792" s="72"/>
      <c r="CO792" s="72"/>
      <c r="CP792" s="72"/>
      <c r="CQ792" s="72"/>
      <c r="CR792" s="72"/>
      <c r="CS792" s="72"/>
    </row>
    <row r="793" spans="1:97" ht="12.75" customHeight="1">
      <c r="H793" s="90"/>
      <c r="I793" s="91"/>
      <c r="J793" s="91"/>
      <c r="K793" s="91"/>
      <c r="L793" s="91"/>
      <c r="M793" s="91"/>
      <c r="N793" s="91"/>
      <c r="O793" s="91"/>
      <c r="P793" s="91"/>
      <c r="Q793" s="91"/>
      <c r="R793" s="91"/>
      <c r="S793" s="91"/>
      <c r="T793" s="91"/>
      <c r="U793" s="91"/>
      <c r="V793" s="91"/>
      <c r="W793" s="91"/>
      <c r="X793" s="91"/>
      <c r="Y793" s="99" t="s">
        <v>850</v>
      </c>
      <c r="Z793" s="1749">
        <f>SUM(Z789:AE792)</f>
        <v>4160</v>
      </c>
      <c r="AA793" s="1750"/>
      <c r="AB793" s="1750"/>
      <c r="AC793" s="1750"/>
      <c r="AD793" s="1750"/>
      <c r="AE793" s="1751"/>
      <c r="AM793" s="72"/>
      <c r="AN793" s="72"/>
      <c r="AO793" s="72"/>
      <c r="AP793" s="72"/>
      <c r="AQ793" s="72"/>
      <c r="AR793" s="72"/>
      <c r="AS793" s="72"/>
      <c r="AT793" s="72"/>
      <c r="AU793" s="72"/>
      <c r="AV793" s="72"/>
      <c r="AW793" s="72"/>
      <c r="AX793" s="72"/>
      <c r="AY793" s="72"/>
      <c r="AZ793" s="72"/>
      <c r="BA793" s="72"/>
      <c r="BB793" s="72"/>
      <c r="BC793" s="72"/>
      <c r="BD793" s="72"/>
      <c r="BE793" s="72"/>
      <c r="BF793" s="72"/>
      <c r="BG793" s="72"/>
      <c r="BH793" s="72"/>
      <c r="BI793" s="72"/>
      <c r="BJ793" s="72"/>
      <c r="BK793" s="72"/>
      <c r="BL793" s="72"/>
      <c r="BM793" s="72"/>
      <c r="BN793" s="72"/>
      <c r="BO793" s="72"/>
      <c r="BP793" s="72"/>
      <c r="BQ793" s="72"/>
      <c r="BR793" s="72"/>
      <c r="BS793" s="72"/>
      <c r="BT793" s="72"/>
      <c r="BU793" s="72"/>
      <c r="BV793" s="72"/>
      <c r="BW793" s="72"/>
      <c r="BX793" s="72"/>
      <c r="BY793" s="72"/>
      <c r="BZ793" s="72"/>
      <c r="CA793" s="72"/>
      <c r="CB793" s="72"/>
      <c r="CC793" s="72"/>
      <c r="CD793" s="72"/>
      <c r="CE793" s="72"/>
      <c r="CF793" s="72"/>
      <c r="CG793" s="72"/>
      <c r="CH793" s="72"/>
      <c r="CI793" s="72"/>
      <c r="CJ793" s="72"/>
      <c r="CK793" s="72"/>
      <c r="CL793" s="72"/>
      <c r="CM793" s="72"/>
      <c r="CN793" s="72"/>
      <c r="CO793" s="72"/>
      <c r="CP793" s="72"/>
      <c r="CQ793" s="72"/>
      <c r="CR793" s="72"/>
      <c r="CS793" s="72"/>
    </row>
    <row r="794" spans="1:97" ht="12.75" customHeight="1">
      <c r="H794" s="90"/>
      <c r="I794" s="91"/>
      <c r="J794" s="91"/>
      <c r="K794" s="91"/>
      <c r="L794" s="91"/>
      <c r="M794" s="91"/>
      <c r="N794" s="91"/>
      <c r="O794" s="91"/>
      <c r="P794" s="91"/>
      <c r="Q794" s="91"/>
      <c r="R794" s="91"/>
      <c r="S794" s="91"/>
      <c r="T794" s="91"/>
      <c r="U794" s="91"/>
      <c r="V794" s="91"/>
      <c r="W794" s="91"/>
      <c r="X794" s="91"/>
      <c r="Y794" s="99" t="s">
        <v>721</v>
      </c>
      <c r="Z794" s="1749">
        <f>Z793+Y777+Z785</f>
        <v>427604</v>
      </c>
      <c r="AA794" s="1750"/>
      <c r="AB794" s="1750"/>
      <c r="AC794" s="1750"/>
      <c r="AD794" s="1750"/>
      <c r="AE794" s="1751"/>
      <c r="AM794" s="72"/>
      <c r="AN794" s="72"/>
      <c r="AO794" s="72"/>
      <c r="AP794" s="72"/>
      <c r="AQ794" s="72"/>
      <c r="AR794" s="72"/>
      <c r="AS794" s="72"/>
      <c r="AT794" s="72"/>
      <c r="AU794" s="72"/>
      <c r="AV794" s="72"/>
      <c r="AW794" s="72"/>
      <c r="AX794" s="72"/>
      <c r="AY794" s="72"/>
      <c r="AZ794" s="72"/>
      <c r="BA794" s="72"/>
      <c r="BB794" s="72"/>
      <c r="BC794" s="72"/>
      <c r="BD794" s="72"/>
      <c r="BE794" s="72"/>
      <c r="BF794" s="72"/>
      <c r="BG794" s="72"/>
      <c r="BH794" s="72"/>
      <c r="BI794" s="72"/>
      <c r="BJ794" s="72"/>
      <c r="BK794" s="72"/>
      <c r="BL794" s="72"/>
      <c r="BM794" s="72"/>
      <c r="BN794" s="72"/>
      <c r="BO794" s="72"/>
      <c r="BP794" s="72"/>
      <c r="BQ794" s="72"/>
      <c r="BR794" s="72"/>
      <c r="BS794" s="72"/>
      <c r="BT794" s="72"/>
      <c r="BU794" s="72"/>
      <c r="BV794" s="72"/>
      <c r="BW794" s="72"/>
      <c r="BX794" s="72"/>
      <c r="BY794" s="72"/>
      <c r="BZ794" s="72"/>
      <c r="CA794" s="72"/>
      <c r="CB794" s="72"/>
      <c r="CC794" s="72"/>
      <c r="CD794" s="72"/>
      <c r="CE794" s="72"/>
      <c r="CF794" s="72"/>
      <c r="CG794" s="72"/>
      <c r="CH794" s="72"/>
      <c r="CI794" s="72"/>
      <c r="CJ794" s="72"/>
      <c r="CK794" s="72"/>
      <c r="CL794" s="72"/>
      <c r="CM794" s="72"/>
      <c r="CN794" s="72"/>
      <c r="CO794" s="72"/>
      <c r="CP794" s="72"/>
      <c r="CQ794" s="72"/>
      <c r="CR794" s="72"/>
      <c r="CS794" s="72"/>
    </row>
    <row r="795" spans="1:97" ht="12.75" customHeight="1">
      <c r="X795" s="21"/>
      <c r="Y795" s="21"/>
      <c r="Z795" s="21"/>
      <c r="AA795" s="21"/>
      <c r="AB795" s="21"/>
      <c r="AC795" s="21"/>
      <c r="AD795" s="21"/>
      <c r="AM795" s="72"/>
      <c r="AN795" s="72"/>
      <c r="AO795" s="72"/>
      <c r="AP795" s="72"/>
      <c r="AQ795" s="72"/>
      <c r="AR795" s="72"/>
      <c r="AS795" s="72"/>
      <c r="AT795" s="72"/>
      <c r="AU795" s="72"/>
      <c r="AV795" s="72"/>
      <c r="AW795" s="72"/>
      <c r="AX795" s="72"/>
      <c r="AY795" s="72"/>
      <c r="AZ795" s="72"/>
      <c r="BA795" s="72"/>
      <c r="BB795" s="72"/>
      <c r="BC795" s="72"/>
      <c r="BD795" s="72"/>
      <c r="BE795" s="72"/>
      <c r="BF795" s="72"/>
      <c r="BG795" s="72"/>
      <c r="BH795" s="72"/>
      <c r="BI795" s="72"/>
      <c r="BJ795" s="72"/>
      <c r="BK795" s="72"/>
      <c r="BL795" s="72"/>
      <c r="BM795" s="72"/>
      <c r="BN795" s="72"/>
      <c r="BO795" s="72"/>
      <c r="BP795" s="72"/>
      <c r="BQ795" s="72"/>
      <c r="BR795" s="72"/>
      <c r="BS795" s="72"/>
      <c r="BT795" s="72"/>
      <c r="BU795" s="72"/>
      <c r="BV795" s="72"/>
      <c r="BW795" s="72"/>
      <c r="BX795" s="72"/>
      <c r="BY795" s="72"/>
      <c r="BZ795" s="72"/>
      <c r="CA795" s="72"/>
      <c r="CB795" s="72"/>
      <c r="CC795" s="72"/>
      <c r="CD795" s="72"/>
      <c r="CE795" s="72"/>
      <c r="CF795" s="72"/>
      <c r="CG795" s="72"/>
      <c r="CH795" s="72"/>
      <c r="CI795" s="72"/>
      <c r="CJ795" s="72"/>
      <c r="CK795" s="72"/>
      <c r="CL795" s="72"/>
      <c r="CM795" s="72"/>
      <c r="CN795" s="72"/>
      <c r="CO795" s="72"/>
      <c r="CP795" s="72"/>
      <c r="CQ795" s="72"/>
      <c r="CR795" s="72"/>
      <c r="CS795" s="72"/>
    </row>
    <row r="796" spans="1:97" ht="12.75" customHeight="1">
      <c r="A796" s="63" t="s">
        <v>137</v>
      </c>
      <c r="B796" s="63"/>
      <c r="C796" s="63" t="s">
        <v>399</v>
      </c>
      <c r="F796" s="35"/>
      <c r="G796" s="35"/>
      <c r="H796" s="35"/>
      <c r="I796" s="35"/>
      <c r="J796" s="35"/>
      <c r="K796" s="35"/>
      <c r="L796" s="35"/>
      <c r="M796" s="35"/>
      <c r="N796" s="35"/>
      <c r="O796" s="35"/>
      <c r="P796" s="35"/>
      <c r="Q796" s="35"/>
      <c r="R796" s="35"/>
      <c r="S796" s="35"/>
      <c r="T796" s="35"/>
      <c r="U796" s="35"/>
      <c r="V796" s="35"/>
      <c r="W796" s="103"/>
      <c r="X796" s="35"/>
      <c r="Y796" s="35"/>
      <c r="Z796" s="35"/>
      <c r="AA796" s="35"/>
      <c r="AB796" s="35"/>
      <c r="AC796" s="35"/>
      <c r="AD796" s="35"/>
      <c r="AE796" s="35"/>
      <c r="AM796" s="72"/>
      <c r="AN796" s="72"/>
      <c r="AO796" s="72"/>
      <c r="AP796" s="72"/>
      <c r="AQ796" s="72"/>
      <c r="AR796" s="72"/>
      <c r="AS796" s="72"/>
      <c r="AT796" s="72"/>
      <c r="AU796" s="72"/>
      <c r="AV796" s="72"/>
      <c r="AW796" s="72"/>
      <c r="AX796" s="72"/>
      <c r="AY796" s="72"/>
      <c r="AZ796" s="72"/>
      <c r="BA796" s="72"/>
      <c r="BB796" s="72"/>
      <c r="BC796" s="72"/>
      <c r="BD796" s="72"/>
      <c r="BE796" s="72"/>
      <c r="BF796" s="72"/>
      <c r="BG796" s="72"/>
      <c r="BH796" s="72"/>
      <c r="BI796" s="72"/>
      <c r="BJ796" s="72"/>
      <c r="BK796" s="72"/>
      <c r="BL796" s="72"/>
      <c r="BM796" s="72"/>
      <c r="BN796" s="72"/>
      <c r="BO796" s="72"/>
      <c r="BP796" s="72"/>
      <c r="BQ796" s="72"/>
      <c r="BR796" s="72"/>
      <c r="BS796" s="72"/>
      <c r="BT796" s="72"/>
      <c r="BU796" s="72"/>
      <c r="BV796" s="72"/>
      <c r="BW796" s="72"/>
      <c r="BX796" s="72"/>
      <c r="BY796" s="72"/>
      <c r="BZ796" s="72"/>
      <c r="CA796" s="72"/>
      <c r="CB796" s="72"/>
      <c r="CC796" s="72"/>
      <c r="CD796" s="72"/>
      <c r="CE796" s="72"/>
      <c r="CF796" s="72"/>
      <c r="CG796" s="72"/>
      <c r="CH796" s="72"/>
      <c r="CI796" s="72"/>
      <c r="CJ796" s="72"/>
      <c r="CK796" s="72"/>
      <c r="CL796" s="72"/>
      <c r="CM796" s="72"/>
      <c r="CN796" s="72"/>
      <c r="CO796" s="72"/>
      <c r="CP796" s="72"/>
      <c r="CQ796" s="72"/>
      <c r="CR796" s="72"/>
      <c r="CS796" s="72"/>
    </row>
    <row r="797" spans="1:97" ht="12.75" customHeight="1">
      <c r="C797" s="46" t="s">
        <v>1154</v>
      </c>
      <c r="F797" s="35"/>
      <c r="G797" s="35"/>
      <c r="H797" s="35"/>
      <c r="I797" s="35"/>
      <c r="J797" s="35"/>
      <c r="K797" s="35"/>
      <c r="L797" s="35"/>
      <c r="M797" s="35"/>
      <c r="N797" s="35"/>
      <c r="O797" s="35"/>
      <c r="P797" s="35"/>
      <c r="Q797" s="35"/>
      <c r="R797" s="35"/>
      <c r="S797" s="35"/>
      <c r="T797" s="35"/>
      <c r="U797" s="35"/>
      <c r="V797" s="35"/>
      <c r="W797" s="103"/>
      <c r="X797" s="35"/>
      <c r="Y797" s="35"/>
      <c r="Z797" s="35"/>
      <c r="AA797" s="35"/>
      <c r="AB797" s="35"/>
      <c r="AC797" s="35"/>
      <c r="AD797" s="35"/>
      <c r="AE797" s="35"/>
      <c r="AM797" s="72"/>
      <c r="AN797" s="72"/>
      <c r="AO797" s="72"/>
      <c r="AP797" s="72"/>
      <c r="AQ797" s="72"/>
      <c r="AR797" s="72"/>
      <c r="AS797" s="72"/>
      <c r="AT797" s="72"/>
      <c r="AU797" s="72"/>
      <c r="AV797" s="72"/>
      <c r="AW797" s="72"/>
      <c r="AX797" s="72"/>
      <c r="AY797" s="72"/>
      <c r="AZ797" s="72"/>
      <c r="BA797" s="72"/>
      <c r="BB797" s="72"/>
      <c r="BC797" s="72"/>
      <c r="BD797" s="72"/>
      <c r="BE797" s="72"/>
      <c r="BF797" s="72"/>
      <c r="BG797" s="72"/>
      <c r="BH797" s="72"/>
      <c r="BI797" s="72"/>
      <c r="BJ797" s="72"/>
      <c r="BK797" s="72"/>
      <c r="BL797" s="72"/>
      <c r="BM797" s="72"/>
      <c r="BN797" s="72"/>
      <c r="BO797" s="72"/>
      <c r="BP797" s="72"/>
      <c r="BQ797" s="72"/>
      <c r="BR797" s="72"/>
      <c r="BS797" s="72"/>
      <c r="BT797" s="72"/>
      <c r="BU797" s="72"/>
      <c r="BV797" s="72"/>
      <c r="BW797" s="72"/>
      <c r="BX797" s="72"/>
      <c r="BY797" s="72"/>
      <c r="BZ797" s="72"/>
      <c r="CA797" s="72"/>
      <c r="CB797" s="72"/>
      <c r="CC797" s="72"/>
      <c r="CD797" s="72"/>
      <c r="CE797" s="72"/>
      <c r="CF797" s="72"/>
      <c r="CG797" s="72"/>
      <c r="CH797" s="72"/>
      <c r="CI797" s="72"/>
      <c r="CJ797" s="72"/>
      <c r="CK797" s="72"/>
      <c r="CL797" s="72"/>
      <c r="CM797" s="72"/>
      <c r="CN797" s="72"/>
      <c r="CO797" s="72"/>
      <c r="CP797" s="72"/>
      <c r="CQ797" s="72"/>
      <c r="CR797" s="72"/>
      <c r="CS797" s="72"/>
    </row>
    <row r="798" spans="1:97" ht="12.75" customHeight="1">
      <c r="C798" s="81"/>
      <c r="F798" s="35"/>
      <c r="G798" s="35"/>
      <c r="H798" s="35"/>
      <c r="I798" s="35"/>
      <c r="J798" s="35"/>
      <c r="K798" s="35"/>
      <c r="L798" s="35"/>
      <c r="M798" s="35"/>
      <c r="N798" s="35"/>
      <c r="O798" s="35"/>
      <c r="P798" s="35"/>
      <c r="Q798" s="35"/>
      <c r="R798" s="35"/>
      <c r="S798" s="35"/>
      <c r="T798" s="35"/>
      <c r="U798" s="35"/>
      <c r="V798" s="35"/>
      <c r="W798" s="103"/>
      <c r="X798" s="35"/>
      <c r="Y798" s="35"/>
      <c r="Z798" s="35"/>
      <c r="AA798" s="35"/>
      <c r="AB798" s="35"/>
      <c r="AC798" s="35"/>
      <c r="AD798" s="35"/>
      <c r="AE798" s="35"/>
      <c r="AM798" s="72"/>
      <c r="AN798" s="72"/>
      <c r="AO798" s="72"/>
      <c r="AP798" s="72"/>
      <c r="AQ798" s="72"/>
      <c r="AR798" s="72"/>
      <c r="AS798" s="72"/>
      <c r="AT798" s="72"/>
      <c r="AU798" s="72"/>
      <c r="AV798" s="72"/>
      <c r="AW798" s="72"/>
      <c r="AX798" s="72"/>
      <c r="AY798" s="72"/>
      <c r="AZ798" s="72"/>
      <c r="BA798" s="72"/>
      <c r="BB798" s="72"/>
      <c r="BC798" s="72"/>
      <c r="BD798" s="72"/>
      <c r="BE798" s="72"/>
      <c r="BF798" s="72"/>
      <c r="BG798" s="72"/>
      <c r="BH798" s="72"/>
      <c r="BI798" s="72"/>
      <c r="BJ798" s="72"/>
      <c r="BK798" s="72"/>
      <c r="BL798" s="72"/>
      <c r="BM798" s="72"/>
      <c r="BN798" s="72"/>
      <c r="BO798" s="72"/>
      <c r="BP798" s="72"/>
      <c r="BQ798" s="72"/>
      <c r="BR798" s="72"/>
      <c r="BS798" s="72"/>
      <c r="BT798" s="72"/>
      <c r="BU798" s="72"/>
      <c r="BV798" s="72"/>
      <c r="BW798" s="72"/>
      <c r="BX798" s="72"/>
      <c r="BY798" s="72"/>
      <c r="BZ798" s="72"/>
      <c r="CA798" s="72"/>
      <c r="CB798" s="72"/>
      <c r="CC798" s="72"/>
      <c r="CD798" s="72"/>
      <c r="CE798" s="72"/>
      <c r="CF798" s="72"/>
      <c r="CG798" s="72"/>
      <c r="CH798" s="72"/>
      <c r="CI798" s="72"/>
      <c r="CJ798" s="72"/>
      <c r="CK798" s="72"/>
      <c r="CL798" s="72"/>
      <c r="CM798" s="72"/>
      <c r="CN798" s="72"/>
      <c r="CO798" s="72"/>
      <c r="CP798" s="72"/>
      <c r="CQ798" s="72"/>
      <c r="CR798" s="72"/>
      <c r="CS798" s="72"/>
    </row>
    <row r="799" spans="1:97" ht="12.75" customHeight="1">
      <c r="C799" s="85"/>
      <c r="D799" s="86"/>
      <c r="E799" s="86"/>
      <c r="F799" s="86"/>
      <c r="G799" s="86"/>
      <c r="H799" s="86"/>
      <c r="I799" s="86"/>
      <c r="J799" s="86"/>
      <c r="K799" s="86"/>
      <c r="L799" s="108"/>
      <c r="M799" s="2006" t="s">
        <v>977</v>
      </c>
      <c r="N799" s="2006"/>
      <c r="O799" s="2006"/>
      <c r="P799" s="2007"/>
      <c r="Q799" s="2010" t="s">
        <v>291</v>
      </c>
      <c r="R799" s="2010"/>
      <c r="S799" s="2010"/>
      <c r="T799" s="2010"/>
      <c r="U799" s="2010" t="s">
        <v>292</v>
      </c>
      <c r="V799" s="2010"/>
      <c r="W799" s="2010"/>
      <c r="X799" s="2010"/>
      <c r="Y799" s="2010" t="s">
        <v>293</v>
      </c>
      <c r="Z799" s="2010"/>
      <c r="AA799" s="2010"/>
      <c r="AB799" s="2010"/>
      <c r="AC799" s="2010" t="s">
        <v>36</v>
      </c>
      <c r="AD799" s="2010"/>
      <c r="AE799" s="2010"/>
      <c r="AF799" s="2010"/>
      <c r="AG799" s="2021" t="s">
        <v>623</v>
      </c>
      <c r="AH799" s="2021"/>
      <c r="AI799" s="2021"/>
      <c r="AJ799" s="2021"/>
      <c r="AM799" s="72"/>
      <c r="AN799" s="72"/>
      <c r="AO799" s="72"/>
      <c r="AP799" s="72"/>
      <c r="AQ799" s="72"/>
      <c r="AR799" s="72"/>
      <c r="AS799" s="72"/>
      <c r="AT799" s="72"/>
      <c r="AU799" s="72"/>
      <c r="AV799" s="72"/>
      <c r="AW799" s="72"/>
      <c r="AX799" s="72"/>
      <c r="AY799" s="72"/>
      <c r="AZ799" s="72"/>
      <c r="BA799" s="72"/>
      <c r="BB799" s="72"/>
      <c r="BC799" s="72"/>
      <c r="BD799" s="72"/>
      <c r="BE799" s="72"/>
      <c r="BF799" s="72"/>
      <c r="BG799" s="72"/>
      <c r="BH799" s="72"/>
      <c r="BI799" s="72"/>
      <c r="BJ799" s="72"/>
      <c r="BK799" s="72"/>
      <c r="BL799" s="72"/>
      <c r="BM799" s="72"/>
      <c r="BN799" s="72"/>
      <c r="BO799" s="72"/>
      <c r="BP799" s="72"/>
      <c r="BQ799" s="72"/>
      <c r="BR799" s="72"/>
      <c r="BS799" s="72"/>
      <c r="BT799" s="72"/>
      <c r="BU799" s="72"/>
      <c r="BV799" s="72"/>
      <c r="BW799" s="72"/>
      <c r="BX799" s="72"/>
      <c r="BY799" s="72"/>
      <c r="BZ799" s="72"/>
      <c r="CA799" s="72"/>
      <c r="CB799" s="72"/>
      <c r="CC799" s="72"/>
      <c r="CD799" s="72"/>
      <c r="CE799" s="72"/>
      <c r="CF799" s="72"/>
      <c r="CG799" s="72"/>
      <c r="CH799" s="72"/>
      <c r="CI799" s="72"/>
      <c r="CJ799" s="72"/>
      <c r="CK799" s="72"/>
      <c r="CL799" s="72"/>
      <c r="CM799" s="72"/>
      <c r="CN799" s="72"/>
      <c r="CO799" s="72"/>
      <c r="CP799" s="72"/>
      <c r="CQ799" s="72"/>
      <c r="CR799" s="72"/>
      <c r="CS799" s="72"/>
    </row>
    <row r="800" spans="1:97" ht="12.75" customHeight="1">
      <c r="C800" s="93"/>
      <c r="D800" s="94"/>
      <c r="E800" s="94"/>
      <c r="F800" s="94"/>
      <c r="G800" s="94"/>
      <c r="H800" s="94"/>
      <c r="I800" s="94"/>
      <c r="J800" s="94"/>
      <c r="K800" s="94"/>
      <c r="L800" s="95"/>
      <c r="M800" s="2008"/>
      <c r="N800" s="2008"/>
      <c r="O800" s="2008"/>
      <c r="P800" s="2009"/>
      <c r="Q800" s="2010"/>
      <c r="R800" s="2010"/>
      <c r="S800" s="2010"/>
      <c r="T800" s="2010"/>
      <c r="U800" s="2010"/>
      <c r="V800" s="2010"/>
      <c r="W800" s="2010"/>
      <c r="X800" s="2010"/>
      <c r="Y800" s="2010"/>
      <c r="Z800" s="2010"/>
      <c r="AA800" s="2010"/>
      <c r="AB800" s="2010"/>
      <c r="AC800" s="2010"/>
      <c r="AD800" s="2010"/>
      <c r="AE800" s="2010"/>
      <c r="AF800" s="2010"/>
      <c r="AG800" s="2021"/>
      <c r="AH800" s="2021"/>
      <c r="AI800" s="2021"/>
      <c r="AJ800" s="2021"/>
      <c r="AM800" s="72"/>
      <c r="AN800" s="72"/>
      <c r="AO800" s="72"/>
      <c r="AP800" s="72"/>
      <c r="AQ800" s="72"/>
      <c r="AR800" s="72"/>
      <c r="AS800" s="72"/>
      <c r="AT800" s="72"/>
      <c r="AU800" s="72"/>
      <c r="AV800" s="72"/>
      <c r="AW800" s="72"/>
      <c r="AX800" s="72"/>
      <c r="AY800" s="72"/>
      <c r="AZ800" s="72"/>
      <c r="BA800" s="72"/>
      <c r="BB800" s="72"/>
      <c r="BC800" s="72"/>
      <c r="BD800" s="72"/>
      <c r="BE800" s="72"/>
      <c r="BF800" s="72"/>
      <c r="BG800" s="72"/>
      <c r="BH800" s="72"/>
      <c r="BI800" s="72"/>
      <c r="BJ800" s="72"/>
      <c r="BK800" s="72"/>
      <c r="BL800" s="72"/>
      <c r="BM800" s="72"/>
      <c r="BN800" s="72"/>
      <c r="BO800" s="72"/>
      <c r="BP800" s="72"/>
      <c r="BQ800" s="72"/>
      <c r="BR800" s="72"/>
      <c r="BS800" s="72"/>
      <c r="BT800" s="72"/>
      <c r="BU800" s="72"/>
      <c r="BV800" s="72"/>
      <c r="BW800" s="72"/>
      <c r="BX800" s="72"/>
      <c r="BY800" s="72"/>
      <c r="BZ800" s="72"/>
      <c r="CA800" s="72"/>
      <c r="CB800" s="72"/>
      <c r="CC800" s="72"/>
      <c r="CD800" s="72"/>
      <c r="CE800" s="72"/>
      <c r="CF800" s="72"/>
      <c r="CG800" s="72"/>
      <c r="CH800" s="72"/>
      <c r="CI800" s="72"/>
      <c r="CJ800" s="72"/>
      <c r="CK800" s="72"/>
      <c r="CL800" s="72"/>
      <c r="CM800" s="72"/>
      <c r="CN800" s="72"/>
      <c r="CO800" s="72"/>
      <c r="CP800" s="72"/>
      <c r="CQ800" s="72"/>
      <c r="CR800" s="72"/>
      <c r="CS800" s="72"/>
    </row>
    <row r="801" spans="1:97" ht="12.75" customHeight="1">
      <c r="C801" s="1762" t="s">
        <v>760</v>
      </c>
      <c r="D801" s="1763"/>
      <c r="E801" s="1763"/>
      <c r="F801" s="1763"/>
      <c r="G801" s="1763"/>
      <c r="H801" s="1763"/>
      <c r="I801" s="94"/>
      <c r="J801" s="94"/>
      <c r="K801" s="94"/>
      <c r="L801" s="95"/>
      <c r="M801" s="1752"/>
      <c r="N801" s="1752"/>
      <c r="O801" s="1752"/>
      <c r="P801" s="1752"/>
      <c r="Q801" s="1752">
        <v>14</v>
      </c>
      <c r="R801" s="1752"/>
      <c r="S801" s="1752"/>
      <c r="T801" s="1752"/>
      <c r="U801" s="1752">
        <v>18</v>
      </c>
      <c r="V801" s="1752"/>
      <c r="W801" s="1752"/>
      <c r="X801" s="1752"/>
      <c r="Y801" s="1752">
        <v>21</v>
      </c>
      <c r="Z801" s="1752"/>
      <c r="AA801" s="1752"/>
      <c r="AB801" s="1752"/>
      <c r="AC801" s="1746"/>
      <c r="AD801" s="1747"/>
      <c r="AE801" s="1747"/>
      <c r="AF801" s="1748"/>
      <c r="AG801" s="1746"/>
      <c r="AH801" s="1747"/>
      <c r="AI801" s="1747"/>
      <c r="AJ801" s="1748"/>
      <c r="AM801" s="72"/>
      <c r="AN801" s="72"/>
      <c r="AO801" s="72"/>
      <c r="AP801" s="72"/>
      <c r="AQ801" s="72"/>
      <c r="AR801" s="72"/>
      <c r="AS801" s="72"/>
      <c r="AT801" s="72"/>
      <c r="AU801" s="72"/>
      <c r="AV801" s="72"/>
      <c r="AW801" s="72"/>
      <c r="AX801" s="72"/>
      <c r="AY801" s="72"/>
      <c r="AZ801" s="72"/>
      <c r="BA801" s="72"/>
      <c r="BB801" s="72"/>
      <c r="BC801" s="72"/>
      <c r="BD801" s="72"/>
      <c r="BE801" s="72"/>
      <c r="BF801" s="72"/>
      <c r="BG801" s="72"/>
      <c r="BH801" s="72"/>
      <c r="BI801" s="72"/>
      <c r="BJ801" s="72"/>
      <c r="BK801" s="72"/>
      <c r="BL801" s="72"/>
      <c r="BM801" s="72"/>
      <c r="BN801" s="72"/>
      <c r="BO801" s="72"/>
      <c r="BP801" s="72"/>
      <c r="BQ801" s="72"/>
      <c r="BR801" s="72"/>
      <c r="BS801" s="72"/>
      <c r="BT801" s="72"/>
      <c r="BU801" s="72"/>
      <c r="BV801" s="72"/>
      <c r="BW801" s="72"/>
      <c r="BX801" s="72"/>
      <c r="BY801" s="72"/>
      <c r="BZ801" s="72"/>
      <c r="CA801" s="72"/>
      <c r="CB801" s="72"/>
      <c r="CC801" s="72"/>
      <c r="CD801" s="72"/>
      <c r="CE801" s="72"/>
      <c r="CF801" s="72"/>
      <c r="CG801" s="72"/>
      <c r="CH801" s="72"/>
      <c r="CI801" s="72"/>
      <c r="CJ801" s="72"/>
      <c r="CK801" s="72"/>
      <c r="CL801" s="72"/>
      <c r="CM801" s="72"/>
      <c r="CN801" s="72"/>
      <c r="CO801" s="72"/>
      <c r="CP801" s="72"/>
      <c r="CQ801" s="72"/>
      <c r="CR801" s="72"/>
      <c r="CS801" s="72"/>
    </row>
    <row r="802" spans="1:97" ht="12.75" customHeight="1">
      <c r="C802" s="2011" t="s">
        <v>761</v>
      </c>
      <c r="D802" s="1936"/>
      <c r="E802" s="1936"/>
      <c r="F802" s="1936"/>
      <c r="G802" s="1936"/>
      <c r="H802" s="1936"/>
      <c r="I802" s="91"/>
      <c r="J802" s="91"/>
      <c r="K802" s="91"/>
      <c r="L802" s="92"/>
      <c r="M802" s="1752"/>
      <c r="N802" s="1752"/>
      <c r="O802" s="1752"/>
      <c r="P802" s="1752"/>
      <c r="Q802" s="1752">
        <v>15</v>
      </c>
      <c r="R802" s="1752"/>
      <c r="S802" s="1752"/>
      <c r="T802" s="1752"/>
      <c r="U802" s="1752">
        <v>18</v>
      </c>
      <c r="V802" s="1752"/>
      <c r="W802" s="1752"/>
      <c r="X802" s="1752"/>
      <c r="Y802" s="1752">
        <v>23</v>
      </c>
      <c r="Z802" s="1752"/>
      <c r="AA802" s="1752"/>
      <c r="AB802" s="1752"/>
      <c r="AC802" s="1746"/>
      <c r="AD802" s="1747"/>
      <c r="AE802" s="1747"/>
      <c r="AF802" s="1748"/>
      <c r="AG802" s="1746"/>
      <c r="AH802" s="1747"/>
      <c r="AI802" s="1747"/>
      <c r="AJ802" s="1748"/>
      <c r="AM802" s="72"/>
      <c r="AN802" s="72"/>
      <c r="AO802" s="72"/>
      <c r="AP802" s="72"/>
      <c r="AQ802" s="72"/>
      <c r="AR802" s="72"/>
      <c r="AS802" s="72"/>
      <c r="AT802" s="72"/>
      <c r="AU802" s="72"/>
      <c r="AV802" s="72"/>
      <c r="AW802" s="72"/>
      <c r="AX802" s="72"/>
      <c r="AY802" s="72"/>
      <c r="AZ802" s="72"/>
      <c r="BA802" s="72"/>
      <c r="BB802" s="72"/>
      <c r="BC802" s="72"/>
      <c r="BD802" s="72"/>
      <c r="BE802" s="72"/>
      <c r="BF802" s="72"/>
      <c r="BG802" s="72"/>
      <c r="BH802" s="72"/>
      <c r="BI802" s="72"/>
      <c r="BJ802" s="72"/>
      <c r="BK802" s="72"/>
      <c r="BL802" s="72"/>
      <c r="BM802" s="72"/>
      <c r="BN802" s="72"/>
      <c r="BO802" s="72"/>
      <c r="BP802" s="72"/>
      <c r="BQ802" s="72"/>
      <c r="BR802" s="72"/>
      <c r="BS802" s="72"/>
      <c r="BT802" s="72"/>
      <c r="BU802" s="72"/>
      <c r="BV802" s="72"/>
      <c r="BW802" s="72"/>
      <c r="BX802" s="72"/>
      <c r="BY802" s="72"/>
      <c r="BZ802" s="72"/>
      <c r="CA802" s="72"/>
      <c r="CB802" s="72"/>
      <c r="CC802" s="72"/>
      <c r="CD802" s="72"/>
      <c r="CE802" s="72"/>
      <c r="CF802" s="72"/>
      <c r="CG802" s="72"/>
      <c r="CH802" s="72"/>
      <c r="CI802" s="72"/>
      <c r="CJ802" s="72"/>
      <c r="CK802" s="72"/>
      <c r="CL802" s="72"/>
      <c r="CM802" s="72"/>
      <c r="CN802" s="72"/>
      <c r="CO802" s="72"/>
      <c r="CP802" s="72"/>
      <c r="CQ802" s="72"/>
      <c r="CR802" s="72"/>
      <c r="CS802" s="72"/>
    </row>
    <row r="803" spans="1:97" ht="12.75" customHeight="1">
      <c r="C803" s="2011" t="s">
        <v>78</v>
      </c>
      <c r="D803" s="1936"/>
      <c r="E803" s="1936"/>
      <c r="F803" s="1936"/>
      <c r="G803" s="1936"/>
      <c r="H803" s="1936"/>
      <c r="I803" s="110"/>
      <c r="J803" s="110"/>
      <c r="K803" s="110"/>
      <c r="L803" s="111"/>
      <c r="M803" s="1752"/>
      <c r="N803" s="1752"/>
      <c r="O803" s="1752"/>
      <c r="P803" s="1752"/>
      <c r="Q803" s="1752">
        <v>6</v>
      </c>
      <c r="R803" s="1752"/>
      <c r="S803" s="1752"/>
      <c r="T803" s="1752"/>
      <c r="U803" s="1752">
        <v>9</v>
      </c>
      <c r="V803" s="1752"/>
      <c r="W803" s="1752"/>
      <c r="X803" s="1752"/>
      <c r="Y803" s="1752">
        <v>12</v>
      </c>
      <c r="Z803" s="1752"/>
      <c r="AA803" s="1752"/>
      <c r="AB803" s="1752"/>
      <c r="AC803" s="1746"/>
      <c r="AD803" s="1747"/>
      <c r="AE803" s="1747"/>
      <c r="AF803" s="1748"/>
      <c r="AG803" s="1746"/>
      <c r="AH803" s="1747"/>
      <c r="AI803" s="1747"/>
      <c r="AJ803" s="1748"/>
      <c r="AM803" s="72"/>
      <c r="AN803" s="72"/>
      <c r="AO803" s="72"/>
      <c r="AP803" s="72"/>
      <c r="AQ803" s="72"/>
      <c r="AR803" s="72"/>
      <c r="AS803" s="72"/>
      <c r="AT803" s="72"/>
      <c r="AU803" s="72"/>
      <c r="AV803" s="72"/>
      <c r="AW803" s="72"/>
      <c r="AX803" s="72"/>
      <c r="AY803" s="72"/>
      <c r="AZ803" s="72"/>
      <c r="BA803" s="72"/>
      <c r="BB803" s="72"/>
      <c r="BC803" s="72"/>
      <c r="BD803" s="72"/>
      <c r="BE803" s="72"/>
      <c r="BF803" s="72"/>
      <c r="BG803" s="72"/>
      <c r="BH803" s="72"/>
      <c r="BI803" s="72"/>
      <c r="BJ803" s="72"/>
      <c r="BK803" s="72"/>
      <c r="BL803" s="72"/>
      <c r="BM803" s="72"/>
      <c r="BN803" s="72"/>
      <c r="BO803" s="72"/>
      <c r="BP803" s="72"/>
      <c r="BQ803" s="72"/>
      <c r="BR803" s="72"/>
      <c r="BS803" s="72"/>
      <c r="BT803" s="72"/>
      <c r="BU803" s="72"/>
      <c r="BV803" s="72"/>
      <c r="BW803" s="72"/>
      <c r="BX803" s="72"/>
      <c r="BY803" s="72"/>
      <c r="BZ803" s="72"/>
      <c r="CA803" s="72"/>
      <c r="CB803" s="72"/>
      <c r="CC803" s="72"/>
      <c r="CD803" s="72"/>
      <c r="CE803" s="72"/>
      <c r="CF803" s="72"/>
      <c r="CG803" s="72"/>
      <c r="CH803" s="72"/>
      <c r="CI803" s="72"/>
      <c r="CJ803" s="72"/>
      <c r="CK803" s="72"/>
      <c r="CL803" s="72"/>
      <c r="CM803" s="72"/>
      <c r="CN803" s="72"/>
      <c r="CO803" s="72"/>
      <c r="CP803" s="72"/>
      <c r="CQ803" s="72"/>
      <c r="CR803" s="72"/>
      <c r="CS803" s="72"/>
    </row>
    <row r="804" spans="1:97" ht="12.75" customHeight="1">
      <c r="C804" s="2011" t="s">
        <v>195</v>
      </c>
      <c r="D804" s="1936"/>
      <c r="E804" s="1936"/>
      <c r="F804" s="1936"/>
      <c r="G804" s="1936"/>
      <c r="H804" s="1936"/>
      <c r="I804" s="110"/>
      <c r="J804" s="110"/>
      <c r="K804" s="110"/>
      <c r="L804" s="111"/>
      <c r="M804" s="1752"/>
      <c r="N804" s="1752"/>
      <c r="O804" s="1752"/>
      <c r="P804" s="1752"/>
      <c r="Q804" s="1752"/>
      <c r="R804" s="1752"/>
      <c r="S804" s="1752"/>
      <c r="T804" s="1752"/>
      <c r="U804" s="1752"/>
      <c r="V804" s="1752"/>
      <c r="W804" s="1752"/>
      <c r="X804" s="1752"/>
      <c r="Y804" s="1752"/>
      <c r="Z804" s="1752"/>
      <c r="AA804" s="1752"/>
      <c r="AB804" s="1752"/>
      <c r="AC804" s="1746"/>
      <c r="AD804" s="1747"/>
      <c r="AE804" s="1747"/>
      <c r="AF804" s="1748"/>
      <c r="AG804" s="1746"/>
      <c r="AH804" s="1747"/>
      <c r="AI804" s="1747"/>
      <c r="AJ804" s="1748"/>
      <c r="AM804" s="72"/>
      <c r="AN804" s="72"/>
      <c r="AO804" s="72"/>
      <c r="AP804" s="72"/>
      <c r="AQ804" s="72"/>
      <c r="AR804" s="72"/>
      <c r="AS804" s="72"/>
      <c r="AT804" s="72"/>
      <c r="AU804" s="72"/>
      <c r="AV804" s="72"/>
      <c r="AW804" s="72"/>
      <c r="AX804" s="72"/>
      <c r="AY804" s="72"/>
      <c r="AZ804" s="72"/>
      <c r="BA804" s="72"/>
      <c r="BB804" s="72"/>
      <c r="BC804" s="72"/>
      <c r="BD804" s="72"/>
      <c r="BE804" s="72"/>
      <c r="BF804" s="72"/>
      <c r="BG804" s="72"/>
      <c r="BH804" s="72"/>
      <c r="BI804" s="72"/>
      <c r="BJ804" s="72"/>
      <c r="BK804" s="72"/>
      <c r="BL804" s="72"/>
      <c r="BM804" s="72"/>
      <c r="BN804" s="72"/>
      <c r="BO804" s="72"/>
      <c r="BP804" s="72"/>
      <c r="BQ804" s="72"/>
      <c r="BR804" s="72"/>
      <c r="BS804" s="72"/>
      <c r="BT804" s="72"/>
      <c r="BU804" s="72"/>
      <c r="BV804" s="72"/>
      <c r="BW804" s="72"/>
      <c r="BX804" s="72"/>
      <c r="BY804" s="72"/>
      <c r="BZ804" s="72"/>
      <c r="CA804" s="72"/>
      <c r="CB804" s="72"/>
      <c r="CC804" s="72"/>
      <c r="CD804" s="72"/>
      <c r="CE804" s="72"/>
      <c r="CF804" s="72"/>
      <c r="CG804" s="72"/>
      <c r="CH804" s="72"/>
      <c r="CI804" s="72"/>
      <c r="CJ804" s="72"/>
      <c r="CK804" s="72"/>
      <c r="CL804" s="72"/>
      <c r="CM804" s="72"/>
      <c r="CN804" s="72"/>
      <c r="CO804" s="72"/>
      <c r="CP804" s="72"/>
      <c r="CQ804" s="72"/>
      <c r="CR804" s="72"/>
      <c r="CS804" s="72"/>
    </row>
    <row r="805" spans="1:97" ht="13.2">
      <c r="C805" s="2011" t="s">
        <v>866</v>
      </c>
      <c r="D805" s="1936"/>
      <c r="E805" s="1936"/>
      <c r="F805" s="1936"/>
      <c r="G805" s="1936"/>
      <c r="H805" s="1936"/>
      <c r="I805" s="110"/>
      <c r="J805" s="110"/>
      <c r="K805" s="110"/>
      <c r="L805" s="111"/>
      <c r="M805" s="1752"/>
      <c r="N805" s="1752"/>
      <c r="O805" s="1752"/>
      <c r="P805" s="1752"/>
      <c r="Q805" s="1752">
        <v>18</v>
      </c>
      <c r="R805" s="1752"/>
      <c r="S805" s="1752"/>
      <c r="T805" s="1752"/>
      <c r="U805" s="1752">
        <v>27</v>
      </c>
      <c r="V805" s="1752"/>
      <c r="W805" s="1752"/>
      <c r="X805" s="1752"/>
      <c r="Y805" s="1752">
        <v>36</v>
      </c>
      <c r="Z805" s="1752"/>
      <c r="AA805" s="1752"/>
      <c r="AB805" s="1752"/>
      <c r="AC805" s="1746"/>
      <c r="AD805" s="1747"/>
      <c r="AE805" s="1747"/>
      <c r="AF805" s="1748"/>
      <c r="AG805" s="1746"/>
      <c r="AH805" s="1747"/>
      <c r="AI805" s="1747"/>
      <c r="AJ805" s="1748"/>
      <c r="AM805" s="72"/>
      <c r="AN805" s="72"/>
      <c r="AO805" s="72"/>
      <c r="AP805" s="72"/>
      <c r="AQ805" s="72"/>
      <c r="AR805" s="72"/>
      <c r="AS805" s="72"/>
      <c r="AT805" s="72"/>
      <c r="AU805" s="72"/>
      <c r="AV805" s="72"/>
      <c r="AW805" s="72"/>
      <c r="AX805" s="72"/>
      <c r="AY805" s="72"/>
      <c r="AZ805" s="72"/>
      <c r="BA805" s="72"/>
      <c r="BB805" s="72"/>
      <c r="BC805" s="72"/>
      <c r="BD805" s="72"/>
      <c r="BE805" s="72"/>
      <c r="BF805" s="72"/>
      <c r="BG805" s="72"/>
      <c r="BH805" s="72"/>
      <c r="BI805" s="72"/>
      <c r="BJ805" s="72"/>
      <c r="BK805" s="72"/>
      <c r="BL805" s="72"/>
      <c r="BM805" s="72"/>
      <c r="BN805" s="72"/>
      <c r="BO805" s="72"/>
      <c r="BP805" s="72"/>
      <c r="BQ805" s="72"/>
      <c r="BR805" s="72"/>
      <c r="BS805" s="72"/>
      <c r="BT805" s="72"/>
      <c r="BU805" s="72"/>
      <c r="BV805" s="72"/>
      <c r="BW805" s="72"/>
      <c r="BX805" s="72"/>
      <c r="BY805" s="72"/>
      <c r="BZ805" s="72"/>
      <c r="CA805" s="72"/>
      <c r="CB805" s="72"/>
      <c r="CC805" s="72"/>
      <c r="CD805" s="72"/>
      <c r="CE805" s="72"/>
      <c r="CF805" s="72"/>
      <c r="CG805" s="72"/>
      <c r="CH805" s="72"/>
      <c r="CI805" s="72"/>
      <c r="CJ805" s="72"/>
      <c r="CK805" s="72"/>
      <c r="CL805" s="72"/>
      <c r="CM805" s="72"/>
      <c r="CN805" s="72"/>
      <c r="CO805" s="72"/>
      <c r="CP805" s="72"/>
      <c r="CQ805" s="72"/>
      <c r="CR805" s="72"/>
      <c r="CS805" s="72"/>
    </row>
    <row r="806" spans="1:97" ht="13.2">
      <c r="C806" s="1963" t="s">
        <v>1047</v>
      </c>
      <c r="D806" s="1936"/>
      <c r="E806" s="1936"/>
      <c r="F806" s="1936"/>
      <c r="G806" s="1936"/>
      <c r="H806" s="1936"/>
      <c r="I806" s="110"/>
      <c r="J806" s="110"/>
      <c r="K806" s="110"/>
      <c r="L806" s="111"/>
      <c r="M806" s="1752"/>
      <c r="N806" s="1752"/>
      <c r="O806" s="1752"/>
      <c r="P806" s="1752"/>
      <c r="Q806" s="1752"/>
      <c r="R806" s="1752"/>
      <c r="S806" s="1752"/>
      <c r="T806" s="1752"/>
      <c r="U806" s="1752"/>
      <c r="V806" s="1752"/>
      <c r="W806" s="1752"/>
      <c r="X806" s="1752"/>
      <c r="Y806" s="1752"/>
      <c r="Z806" s="1752"/>
      <c r="AA806" s="1752"/>
      <c r="AB806" s="1752"/>
      <c r="AC806" s="1746"/>
      <c r="AD806" s="1747"/>
      <c r="AE806" s="1747"/>
      <c r="AF806" s="1748"/>
      <c r="AG806" s="1746"/>
      <c r="AH806" s="1747"/>
      <c r="AI806" s="1747"/>
      <c r="AJ806" s="1748"/>
      <c r="AM806" s="72"/>
      <c r="AN806" s="72"/>
      <c r="AO806" s="72"/>
      <c r="AP806" s="72"/>
      <c r="AQ806" s="72"/>
      <c r="AR806" s="72"/>
      <c r="AS806" s="72"/>
      <c r="AT806" s="72"/>
      <c r="AU806" s="72"/>
      <c r="AV806" s="72"/>
      <c r="AW806" s="72"/>
      <c r="AX806" s="72"/>
      <c r="AY806" s="72"/>
      <c r="AZ806" s="72"/>
      <c r="BA806" s="72"/>
      <c r="BB806" s="72"/>
      <c r="BC806" s="72"/>
      <c r="BD806" s="72"/>
      <c r="BE806" s="72"/>
      <c r="BF806" s="72"/>
      <c r="BG806" s="72"/>
      <c r="BH806" s="72"/>
      <c r="BI806" s="72"/>
      <c r="BJ806" s="72"/>
      <c r="BK806" s="72"/>
      <c r="BL806" s="72"/>
      <c r="BM806" s="72"/>
      <c r="BN806" s="72"/>
      <c r="BO806" s="72"/>
      <c r="BP806" s="72"/>
      <c r="BQ806" s="72"/>
      <c r="BR806" s="72"/>
      <c r="BS806" s="72"/>
      <c r="BT806" s="72"/>
      <c r="BU806" s="72"/>
      <c r="BV806" s="72"/>
      <c r="BW806" s="72"/>
      <c r="BX806" s="72"/>
      <c r="BY806" s="72"/>
      <c r="BZ806" s="72"/>
      <c r="CA806" s="72"/>
      <c r="CB806" s="72"/>
      <c r="CC806" s="72"/>
      <c r="CD806" s="72"/>
      <c r="CE806" s="72"/>
      <c r="CF806" s="72"/>
      <c r="CG806" s="72"/>
      <c r="CH806" s="72"/>
      <c r="CI806" s="72"/>
      <c r="CJ806" s="72"/>
      <c r="CK806" s="72"/>
      <c r="CL806" s="72"/>
      <c r="CM806" s="72"/>
      <c r="CN806" s="72"/>
      <c r="CO806" s="72"/>
      <c r="CP806" s="72"/>
      <c r="CQ806" s="72"/>
      <c r="CR806" s="72"/>
      <c r="CS806" s="72"/>
    </row>
    <row r="807" spans="1:97" ht="13.2">
      <c r="C807" s="109" t="s">
        <v>294</v>
      </c>
      <c r="D807" s="110"/>
      <c r="E807" s="110"/>
      <c r="F807" s="1808" t="s">
        <v>2437</v>
      </c>
      <c r="G807" s="1991"/>
      <c r="H807" s="1991"/>
      <c r="I807" s="1991"/>
      <c r="J807" s="1991"/>
      <c r="K807" s="1991"/>
      <c r="L807" s="1992"/>
      <c r="M807" s="1752"/>
      <c r="N807" s="1752"/>
      <c r="O807" s="1752"/>
      <c r="P807" s="1752"/>
      <c r="Q807" s="1752">
        <v>13</v>
      </c>
      <c r="R807" s="1752"/>
      <c r="S807" s="1752"/>
      <c r="T807" s="1752"/>
      <c r="U807" s="1752">
        <v>18</v>
      </c>
      <c r="V807" s="1752"/>
      <c r="W807" s="1752"/>
      <c r="X807" s="1752"/>
      <c r="Y807" s="1752">
        <v>23</v>
      </c>
      <c r="Z807" s="1752"/>
      <c r="AA807" s="1752"/>
      <c r="AB807" s="1752"/>
      <c r="AC807" s="1746"/>
      <c r="AD807" s="1747"/>
      <c r="AE807" s="1747"/>
      <c r="AF807" s="1748"/>
      <c r="AG807" s="1746"/>
      <c r="AH807" s="1747"/>
      <c r="AI807" s="1747"/>
      <c r="AJ807" s="1748"/>
      <c r="AM807" s="72"/>
      <c r="AN807" s="72"/>
      <c r="AO807" s="72"/>
      <c r="AP807" s="72"/>
      <c r="AQ807" s="72"/>
      <c r="AR807" s="72"/>
      <c r="AS807" s="72"/>
      <c r="AT807" s="72"/>
      <c r="AU807" s="72"/>
      <c r="AV807" s="72"/>
      <c r="AW807" s="72"/>
      <c r="AX807" s="72"/>
      <c r="AY807" s="72"/>
      <c r="AZ807" s="72"/>
      <c r="BA807" s="72"/>
      <c r="BB807" s="72"/>
      <c r="BC807" s="72"/>
      <c r="BD807" s="72"/>
      <c r="BE807" s="72"/>
      <c r="BF807" s="72"/>
      <c r="BG807" s="72"/>
      <c r="BH807" s="72"/>
      <c r="BI807" s="72"/>
      <c r="BJ807" s="72"/>
      <c r="BK807" s="72"/>
      <c r="BL807" s="72"/>
      <c r="BM807" s="72"/>
      <c r="BN807" s="72"/>
      <c r="BO807" s="72"/>
      <c r="BP807" s="72"/>
      <c r="BQ807" s="72"/>
      <c r="BR807" s="72"/>
      <c r="BS807" s="72"/>
      <c r="BT807" s="72"/>
      <c r="BU807" s="72"/>
      <c r="BV807" s="72"/>
      <c r="BW807" s="72"/>
      <c r="BX807" s="72"/>
      <c r="BY807" s="72"/>
      <c r="BZ807" s="72"/>
      <c r="CA807" s="72"/>
      <c r="CB807" s="72"/>
      <c r="CC807" s="72"/>
      <c r="CD807" s="72"/>
      <c r="CE807" s="72"/>
      <c r="CF807" s="72"/>
      <c r="CG807" s="72"/>
      <c r="CH807" s="72"/>
      <c r="CI807" s="72"/>
      <c r="CJ807" s="72"/>
      <c r="CK807" s="72"/>
      <c r="CL807" s="72"/>
      <c r="CM807" s="72"/>
      <c r="CN807" s="72"/>
      <c r="CO807" s="72"/>
      <c r="CP807" s="72"/>
      <c r="CQ807" s="72"/>
      <c r="CR807" s="72"/>
      <c r="CS807" s="72"/>
    </row>
    <row r="808" spans="1:97" ht="12.75" customHeight="1">
      <c r="C808" s="1848" t="s">
        <v>975</v>
      </c>
      <c r="D808" s="1849"/>
      <c r="E808" s="1849"/>
      <c r="F808" s="1849"/>
      <c r="G808" s="1849"/>
      <c r="H808" s="1849"/>
      <c r="I808" s="1849"/>
      <c r="J808" s="1849"/>
      <c r="K808" s="1849"/>
      <c r="L808" s="1851"/>
      <c r="M808" s="1993">
        <f>SUM(M801:P807)</f>
        <v>0</v>
      </c>
      <c r="N808" s="1993"/>
      <c r="O808" s="1993"/>
      <c r="P808" s="1993"/>
      <c r="Q808" s="1993">
        <f>SUM(Q801:T807)</f>
        <v>66</v>
      </c>
      <c r="R808" s="1993"/>
      <c r="S808" s="1993"/>
      <c r="T808" s="1993"/>
      <c r="U808" s="1993">
        <f>SUM(U801:X807)</f>
        <v>90</v>
      </c>
      <c r="V808" s="1993"/>
      <c r="W808" s="1993"/>
      <c r="X808" s="1993"/>
      <c r="Y808" s="1993">
        <f>SUM(Y801:AB807)</f>
        <v>115</v>
      </c>
      <c r="Z808" s="1993"/>
      <c r="AA808" s="1993"/>
      <c r="AB808" s="1993"/>
      <c r="AC808" s="1993">
        <f>SUM(AC801:AF807)</f>
        <v>0</v>
      </c>
      <c r="AD808" s="1993"/>
      <c r="AE808" s="1993"/>
      <c r="AF808" s="1993"/>
      <c r="AG808" s="1993">
        <f>SUM(AG801:AJ807)</f>
        <v>0</v>
      </c>
      <c r="AH808" s="1993"/>
      <c r="AI808" s="1993"/>
      <c r="AJ808" s="1993"/>
      <c r="AM808" s="72"/>
      <c r="AN808" s="72"/>
      <c r="AO808" s="72"/>
      <c r="AP808" s="72"/>
      <c r="AQ808" s="72"/>
      <c r="AR808" s="72"/>
      <c r="AS808" s="72"/>
      <c r="AT808" s="72"/>
      <c r="AU808" s="72"/>
      <c r="AV808" s="72"/>
      <c r="AW808" s="72"/>
      <c r="AX808" s="72"/>
      <c r="AY808" s="72"/>
      <c r="AZ808" s="72"/>
      <c r="BA808" s="72"/>
      <c r="BB808" s="72"/>
      <c r="BC808" s="72"/>
      <c r="BD808" s="72"/>
      <c r="BE808" s="72"/>
      <c r="BF808" s="72"/>
      <c r="BG808" s="72"/>
      <c r="BH808" s="72"/>
      <c r="BI808" s="72"/>
      <c r="BJ808" s="72"/>
      <c r="BK808" s="72"/>
      <c r="BL808" s="72"/>
      <c r="BM808" s="72"/>
      <c r="BN808" s="72"/>
      <c r="BO808" s="72"/>
      <c r="BP808" s="72"/>
      <c r="BQ808" s="72"/>
      <c r="BR808" s="72"/>
      <c r="BS808" s="72"/>
      <c r="BT808" s="72"/>
      <c r="BU808" s="72"/>
      <c r="BV808" s="72"/>
      <c r="BW808" s="72"/>
      <c r="BX808" s="72"/>
      <c r="BY808" s="72"/>
      <c r="BZ808" s="72"/>
      <c r="CA808" s="72"/>
      <c r="CB808" s="72"/>
      <c r="CC808" s="72"/>
      <c r="CD808" s="72"/>
      <c r="CE808" s="72"/>
      <c r="CF808" s="72"/>
      <c r="CG808" s="72"/>
      <c r="CH808" s="72"/>
      <c r="CI808" s="72"/>
      <c r="CJ808" s="72"/>
      <c r="CK808" s="72"/>
      <c r="CL808" s="72"/>
      <c r="CM808" s="72"/>
      <c r="CN808" s="72"/>
      <c r="CO808" s="72"/>
      <c r="CP808" s="72"/>
      <c r="CQ808" s="72"/>
      <c r="CR808" s="72"/>
      <c r="CS808" s="72"/>
    </row>
    <row r="809" spans="1:97" ht="13.2">
      <c r="C809" s="107" t="s">
        <v>1048</v>
      </c>
      <c r="D809" s="103"/>
      <c r="E809" s="103"/>
      <c r="F809" s="103"/>
      <c r="G809" s="103"/>
      <c r="H809" s="103"/>
      <c r="I809" s="103"/>
      <c r="J809" s="103"/>
      <c r="K809" s="103"/>
      <c r="L809" s="103"/>
      <c r="M809" s="493"/>
      <c r="N809" s="493"/>
      <c r="O809" s="493"/>
      <c r="P809" s="493"/>
      <c r="Q809" s="493"/>
      <c r="R809" s="493"/>
      <c r="S809" s="493"/>
      <c r="T809" s="493"/>
      <c r="U809" s="493"/>
      <c r="V809" s="493"/>
      <c r="W809" s="493"/>
      <c r="X809" s="493"/>
      <c r="Y809" s="493"/>
      <c r="Z809" s="493"/>
      <c r="AA809" s="493"/>
      <c r="AB809" s="493"/>
      <c r="AC809" s="493"/>
      <c r="AD809" s="493"/>
      <c r="AE809" s="493"/>
      <c r="AF809" s="493"/>
      <c r="AG809" s="493"/>
      <c r="AH809" s="493"/>
      <c r="AI809" s="493"/>
      <c r="AJ809" s="493"/>
      <c r="AM809" s="72"/>
      <c r="AN809" s="72"/>
      <c r="AO809" s="72"/>
      <c r="AP809" s="72"/>
      <c r="AQ809" s="72"/>
      <c r="AR809" s="72"/>
      <c r="AS809" s="72"/>
      <c r="AT809" s="72"/>
      <c r="AU809" s="72"/>
      <c r="AV809" s="72"/>
      <c r="AW809" s="72"/>
      <c r="AX809" s="72"/>
      <c r="AY809" s="72"/>
      <c r="AZ809" s="72"/>
      <c r="BA809" s="72"/>
      <c r="BB809" s="72"/>
      <c r="BC809" s="72"/>
      <c r="BD809" s="72"/>
      <c r="BE809" s="72"/>
      <c r="BF809" s="72"/>
      <c r="BG809" s="72"/>
      <c r="BH809" s="72"/>
      <c r="BI809" s="72"/>
      <c r="BJ809" s="72"/>
      <c r="BK809" s="72"/>
      <c r="BL809" s="72"/>
      <c r="BM809" s="72"/>
      <c r="BN809" s="72"/>
      <c r="BO809" s="72"/>
      <c r="BP809" s="72"/>
      <c r="BQ809" s="72"/>
      <c r="BR809" s="72"/>
      <c r="BS809" s="72"/>
      <c r="BT809" s="72"/>
      <c r="BU809" s="72"/>
      <c r="BV809" s="72"/>
      <c r="BW809" s="72"/>
      <c r="BX809" s="72"/>
      <c r="BY809" s="72"/>
      <c r="BZ809" s="72"/>
      <c r="CA809" s="72"/>
      <c r="CB809" s="72"/>
      <c r="CC809" s="72"/>
      <c r="CD809" s="72"/>
      <c r="CE809" s="72"/>
      <c r="CF809" s="72"/>
      <c r="CG809" s="72"/>
      <c r="CH809" s="72"/>
      <c r="CI809" s="72"/>
      <c r="CJ809" s="72"/>
      <c r="CK809" s="72"/>
      <c r="CL809" s="72"/>
      <c r="CM809" s="72"/>
      <c r="CN809" s="72"/>
      <c r="CO809" s="72"/>
      <c r="CP809" s="72"/>
      <c r="CQ809" s="72"/>
      <c r="CR809" s="72"/>
      <c r="CS809" s="72"/>
    </row>
    <row r="810" spans="1:97" ht="12.75" customHeight="1">
      <c r="C810" s="107" t="s">
        <v>1049</v>
      </c>
      <c r="D810" s="103"/>
      <c r="E810" s="103"/>
      <c r="F810" s="103"/>
      <c r="G810" s="103"/>
      <c r="H810" s="103"/>
      <c r="I810" s="103"/>
      <c r="J810" s="103"/>
      <c r="K810" s="103"/>
      <c r="L810" s="103"/>
      <c r="M810" s="493"/>
      <c r="N810" s="493"/>
      <c r="O810" s="493"/>
      <c r="P810" s="493"/>
      <c r="Q810" s="493"/>
      <c r="R810" s="493"/>
      <c r="S810" s="493"/>
      <c r="T810" s="493"/>
      <c r="U810" s="493"/>
      <c r="V810" s="493"/>
      <c r="W810" s="493"/>
      <c r="X810" s="493"/>
      <c r="Y810" s="493"/>
      <c r="Z810" s="493"/>
      <c r="AA810" s="493"/>
      <c r="AB810" s="493"/>
      <c r="AC810" s="493"/>
      <c r="AD810" s="493"/>
      <c r="AE810" s="493"/>
      <c r="AF810" s="493"/>
      <c r="AG810" s="493"/>
      <c r="AH810" s="493"/>
      <c r="AI810" s="493"/>
      <c r="AJ810" s="493"/>
      <c r="AM810" s="72"/>
      <c r="AN810" s="72"/>
      <c r="AO810" s="72"/>
      <c r="AP810" s="72"/>
      <c r="AQ810" s="72"/>
      <c r="AR810" s="72"/>
      <c r="AS810" s="72"/>
      <c r="AT810" s="72"/>
      <c r="AU810" s="72"/>
      <c r="AV810" s="72"/>
      <c r="AW810" s="72"/>
      <c r="AX810" s="72"/>
      <c r="AY810" s="72"/>
      <c r="AZ810" s="72"/>
      <c r="BA810" s="72"/>
      <c r="BB810" s="72"/>
      <c r="BC810" s="72"/>
      <c r="BD810" s="72"/>
      <c r="BE810" s="72"/>
      <c r="BF810" s="72"/>
      <c r="BG810" s="72"/>
      <c r="BH810" s="72"/>
      <c r="BI810" s="72"/>
      <c r="BJ810" s="72"/>
      <c r="BK810" s="72"/>
      <c r="BL810" s="72"/>
      <c r="BM810" s="72"/>
      <c r="BN810" s="72"/>
      <c r="BO810" s="72"/>
      <c r="BP810" s="72"/>
      <c r="BQ810" s="72"/>
      <c r="BR810" s="72"/>
      <c r="BS810" s="72"/>
      <c r="BT810" s="72"/>
      <c r="BU810" s="72"/>
      <c r="BV810" s="72"/>
      <c r="BW810" s="72"/>
      <c r="BX810" s="72"/>
      <c r="BY810" s="72"/>
      <c r="BZ810" s="72"/>
      <c r="CA810" s="72"/>
      <c r="CB810" s="72"/>
      <c r="CC810" s="72"/>
      <c r="CD810" s="72"/>
      <c r="CE810" s="72"/>
      <c r="CF810" s="72"/>
      <c r="CG810" s="72"/>
      <c r="CH810" s="72"/>
      <c r="CI810" s="72"/>
      <c r="CJ810" s="72"/>
      <c r="CK810" s="72"/>
      <c r="CL810" s="72"/>
      <c r="CM810" s="72"/>
      <c r="CN810" s="72"/>
      <c r="CO810" s="72"/>
      <c r="CP810" s="72"/>
      <c r="CQ810" s="72"/>
      <c r="CR810" s="72"/>
      <c r="CS810" s="72"/>
    </row>
    <row r="811" spans="1:97" ht="13.2">
      <c r="C811" s="103"/>
      <c r="D811" s="103"/>
      <c r="E811" s="103"/>
      <c r="F811" s="103"/>
      <c r="G811" s="103"/>
      <c r="H811" s="103"/>
      <c r="I811" s="103"/>
      <c r="J811" s="103"/>
      <c r="K811" s="103"/>
      <c r="L811" s="103"/>
      <c r="M811" s="493"/>
      <c r="N811" s="493"/>
      <c r="O811" s="493"/>
      <c r="P811" s="493"/>
      <c r="Q811" s="493"/>
      <c r="R811" s="493"/>
      <c r="S811" s="493"/>
      <c r="T811" s="493"/>
      <c r="U811" s="493"/>
      <c r="V811" s="493"/>
      <c r="W811" s="493"/>
      <c r="X811" s="493"/>
      <c r="Y811" s="493"/>
      <c r="Z811" s="493"/>
      <c r="AA811" s="493"/>
      <c r="AB811" s="493"/>
      <c r="AC811" s="493"/>
      <c r="AD811" s="493"/>
      <c r="AE811" s="493"/>
      <c r="AF811" s="493"/>
      <c r="AG811" s="493"/>
      <c r="AH811" s="493"/>
      <c r="AI811" s="493"/>
      <c r="AJ811" s="493"/>
      <c r="AM811" s="72"/>
      <c r="AN811" s="72"/>
      <c r="AO811" s="72"/>
      <c r="AP811" s="72"/>
      <c r="AQ811" s="72"/>
      <c r="AR811" s="72"/>
      <c r="AS811" s="72"/>
      <c r="AT811" s="72"/>
      <c r="AU811" s="72"/>
      <c r="AV811" s="72"/>
      <c r="AW811" s="72"/>
      <c r="AX811" s="72"/>
      <c r="AY811" s="72"/>
      <c r="AZ811" s="72"/>
      <c r="BA811" s="72"/>
      <c r="BB811" s="72"/>
      <c r="BC811" s="72"/>
      <c r="BD811" s="72"/>
      <c r="BE811" s="72"/>
      <c r="BF811" s="72"/>
      <c r="BG811" s="72"/>
      <c r="BH811" s="72"/>
      <c r="BI811" s="72"/>
      <c r="BJ811" s="72"/>
      <c r="BK811" s="72"/>
      <c r="BL811" s="72"/>
      <c r="BM811" s="72"/>
      <c r="BN811" s="72"/>
      <c r="BO811" s="72"/>
      <c r="BP811" s="72"/>
      <c r="BQ811" s="72"/>
      <c r="BR811" s="72"/>
      <c r="BS811" s="72"/>
      <c r="BT811" s="72"/>
      <c r="BU811" s="72"/>
      <c r="BV811" s="72"/>
      <c r="BW811" s="72"/>
      <c r="BX811" s="72"/>
      <c r="BY811" s="72"/>
      <c r="BZ811" s="72"/>
      <c r="CA811" s="72"/>
      <c r="CB811" s="72"/>
      <c r="CC811" s="72"/>
      <c r="CD811" s="72"/>
      <c r="CE811" s="72"/>
      <c r="CF811" s="72"/>
      <c r="CG811" s="72"/>
      <c r="CH811" s="72"/>
      <c r="CI811" s="72"/>
      <c r="CJ811" s="72"/>
      <c r="CK811" s="72"/>
      <c r="CL811" s="72"/>
      <c r="CM811" s="72"/>
      <c r="CN811" s="72"/>
      <c r="CO811" s="72"/>
      <c r="CP811" s="72"/>
      <c r="CQ811" s="72"/>
      <c r="CR811" s="72"/>
      <c r="CS811" s="72"/>
    </row>
    <row r="812" spans="1:97" ht="12.75" customHeight="1">
      <c r="C812" s="63" t="s">
        <v>772</v>
      </c>
      <c r="Q812" s="3"/>
      <c r="R812" s="18"/>
      <c r="S812" s="18"/>
      <c r="T812" s="18"/>
      <c r="U812" s="18"/>
      <c r="V812" s="18"/>
      <c r="W812" s="18"/>
      <c r="X812" s="18"/>
      <c r="Y812" s="18"/>
      <c r="Z812" s="18"/>
      <c r="AA812" s="18"/>
      <c r="AB812" s="18"/>
      <c r="AC812" s="18"/>
      <c r="AD812" s="18"/>
      <c r="AE812" s="18"/>
      <c r="AF812" s="18"/>
      <c r="AG812" s="18"/>
      <c r="AH812" s="18"/>
      <c r="AI812" s="18"/>
      <c r="AJ812" s="18"/>
      <c r="AM812" s="72"/>
      <c r="AN812" s="72"/>
      <c r="AO812" s="72"/>
      <c r="AP812" s="72"/>
      <c r="AQ812" s="72"/>
      <c r="AR812" s="72"/>
      <c r="AS812" s="72"/>
      <c r="AT812" s="72"/>
      <c r="AU812" s="72"/>
      <c r="AV812" s="72"/>
      <c r="AW812" s="72"/>
      <c r="AX812" s="72"/>
      <c r="AY812" s="72"/>
      <c r="AZ812" s="72"/>
      <c r="BA812" s="72"/>
      <c r="BB812" s="72"/>
      <c r="BC812" s="72"/>
      <c r="BD812" s="72"/>
      <c r="BE812" s="72"/>
      <c r="BF812" s="72"/>
      <c r="BG812" s="72"/>
      <c r="BH812" s="72"/>
      <c r="BI812" s="72"/>
      <c r="BJ812" s="72"/>
      <c r="BK812" s="72"/>
      <c r="BL812" s="72"/>
      <c r="BM812" s="72"/>
      <c r="BN812" s="72"/>
      <c r="BO812" s="72"/>
      <c r="BP812" s="72"/>
      <c r="BQ812" s="72"/>
      <c r="BR812" s="72"/>
      <c r="BS812" s="72"/>
      <c r="BT812" s="72"/>
      <c r="BU812" s="72"/>
      <c r="BV812" s="72"/>
      <c r="BW812" s="72"/>
      <c r="BX812" s="72"/>
      <c r="BY812" s="72"/>
      <c r="BZ812" s="72"/>
      <c r="CA812" s="72"/>
      <c r="CB812" s="72"/>
      <c r="CC812" s="72"/>
      <c r="CD812" s="72"/>
      <c r="CE812" s="72"/>
      <c r="CF812" s="72"/>
      <c r="CG812" s="72"/>
      <c r="CH812" s="72"/>
      <c r="CI812" s="72"/>
      <c r="CJ812" s="72"/>
      <c r="CK812" s="72"/>
      <c r="CL812" s="72"/>
      <c r="CM812" s="72"/>
      <c r="CN812" s="72"/>
      <c r="CO812" s="72"/>
      <c r="CP812" s="72"/>
      <c r="CQ812" s="72"/>
      <c r="CR812" s="72"/>
      <c r="CS812" s="72"/>
    </row>
    <row r="813" spans="1:97" ht="12.75" customHeight="1">
      <c r="C813" s="1988" t="s">
        <v>2438</v>
      </c>
      <c r="D813" s="1989"/>
      <c r="E813" s="1989"/>
      <c r="F813" s="1989"/>
      <c r="G813" s="1989"/>
      <c r="H813" s="1989"/>
      <c r="I813" s="1989"/>
      <c r="J813" s="1989"/>
      <c r="K813" s="1989"/>
      <c r="L813" s="1989"/>
      <c r="M813" s="1989"/>
      <c r="N813" s="1989"/>
      <c r="O813" s="1989"/>
      <c r="P813" s="1989"/>
      <c r="Q813" s="1989"/>
      <c r="R813" s="1989"/>
      <c r="S813" s="1989"/>
      <c r="T813" s="1989"/>
      <c r="U813" s="1989"/>
      <c r="V813" s="1989"/>
      <c r="W813" s="1989"/>
      <c r="X813" s="1989"/>
      <c r="Y813" s="1989"/>
      <c r="Z813" s="1989"/>
      <c r="AA813" s="1989"/>
      <c r="AB813" s="1989"/>
      <c r="AC813" s="1989"/>
      <c r="AD813" s="1989"/>
      <c r="AE813" s="1989"/>
      <c r="AF813" s="1989"/>
      <c r="AG813" s="1989"/>
      <c r="AH813" s="1989"/>
      <c r="AI813" s="1989"/>
      <c r="AJ813" s="1990"/>
      <c r="AM813" s="72"/>
      <c r="AN813" s="72"/>
      <c r="AO813" s="72"/>
      <c r="AP813" s="72"/>
      <c r="AQ813" s="72"/>
      <c r="AR813" s="72"/>
      <c r="AS813" s="72"/>
      <c r="AT813" s="72"/>
      <c r="AU813" s="72"/>
      <c r="AV813" s="72"/>
      <c r="AW813" s="72"/>
      <c r="AX813" s="72"/>
      <c r="AY813" s="72"/>
      <c r="AZ813" s="72"/>
      <c r="BA813" s="72"/>
      <c r="BB813" s="72"/>
      <c r="BC813" s="72"/>
      <c r="BD813" s="72"/>
      <c r="BE813" s="72"/>
      <c r="BF813" s="72"/>
      <c r="BG813" s="72"/>
      <c r="BH813" s="72"/>
      <c r="BI813" s="72"/>
      <c r="BJ813" s="72"/>
      <c r="BK813" s="72"/>
      <c r="BL813" s="72"/>
      <c r="BM813" s="72"/>
      <c r="BN813" s="72"/>
      <c r="BO813" s="72"/>
      <c r="BP813" s="72"/>
      <c r="BQ813" s="72"/>
      <c r="BR813" s="72"/>
      <c r="BS813" s="72"/>
      <c r="BT813" s="72"/>
      <c r="BU813" s="72"/>
      <c r="BV813" s="72"/>
      <c r="BW813" s="72"/>
      <c r="BX813" s="72"/>
      <c r="BY813" s="72"/>
      <c r="BZ813" s="72"/>
      <c r="CA813" s="72"/>
      <c r="CB813" s="72"/>
      <c r="CC813" s="72"/>
      <c r="CD813" s="72"/>
      <c r="CE813" s="72"/>
      <c r="CF813" s="72"/>
      <c r="CG813" s="72"/>
      <c r="CH813" s="72"/>
      <c r="CI813" s="72"/>
      <c r="CJ813" s="72"/>
      <c r="CK813" s="72"/>
      <c r="CL813" s="72"/>
      <c r="CM813" s="72"/>
      <c r="CN813" s="72"/>
      <c r="CO813" s="72"/>
      <c r="CP813" s="72"/>
      <c r="CQ813" s="72"/>
      <c r="CR813" s="72"/>
      <c r="CS813" s="72"/>
    </row>
    <row r="814" spans="1:97" ht="12.75" customHeight="1">
      <c r="C814" s="251" t="s">
        <v>1892</v>
      </c>
      <c r="D814" s="251"/>
      <c r="E814" s="251"/>
      <c r="F814" s="251"/>
      <c r="G814" s="251"/>
      <c r="H814" s="251"/>
      <c r="I814" s="251"/>
      <c r="J814" s="251"/>
      <c r="K814" s="251"/>
      <c r="L814" s="251"/>
      <c r="M814" s="251"/>
      <c r="N814" s="251"/>
      <c r="O814" s="251"/>
      <c r="P814" s="251"/>
      <c r="Q814" s="251"/>
      <c r="R814" s="251"/>
      <c r="S814" s="251"/>
      <c r="T814" s="251"/>
      <c r="U814" s="251"/>
      <c r="V814" s="251"/>
      <c r="W814" s="251"/>
      <c r="X814" s="251"/>
      <c r="Y814" s="251"/>
      <c r="Z814" s="251"/>
      <c r="AA814" s="251"/>
      <c r="AB814" s="251"/>
      <c r="AC814" s="251"/>
      <c r="AD814" s="251"/>
      <c r="AE814" s="251"/>
      <c r="AF814" s="251"/>
      <c r="AG814" s="251"/>
      <c r="AH814" s="251"/>
      <c r="AI814" s="251"/>
      <c r="AJ814" s="251"/>
      <c r="AM814" s="72"/>
      <c r="AN814" s="72"/>
      <c r="AO814" s="72"/>
      <c r="AP814" s="72"/>
      <c r="AQ814" s="72"/>
      <c r="AR814" s="72"/>
      <c r="AS814" s="72"/>
      <c r="AT814" s="72"/>
      <c r="AU814" s="72"/>
      <c r="AV814" s="72"/>
      <c r="AW814" s="72"/>
      <c r="AX814" s="72"/>
      <c r="AY814" s="72"/>
      <c r="AZ814" s="72"/>
      <c r="BA814" s="72"/>
      <c r="BB814" s="72"/>
      <c r="BC814" s="72"/>
      <c r="BD814" s="72"/>
      <c r="BE814" s="72"/>
      <c r="BF814" s="72"/>
      <c r="BG814" s="72"/>
      <c r="BH814" s="72"/>
      <c r="BI814" s="72"/>
      <c r="BJ814" s="72"/>
      <c r="BK814" s="72"/>
      <c r="BL814" s="72"/>
      <c r="BM814" s="72"/>
      <c r="BN814" s="72"/>
      <c r="BO814" s="72"/>
      <c r="BP814" s="72"/>
      <c r="BQ814" s="72"/>
      <c r="BR814" s="72"/>
      <c r="BS814" s="72"/>
      <c r="BT814" s="72"/>
      <c r="BU814" s="72"/>
      <c r="BV814" s="72"/>
      <c r="BW814" s="72"/>
      <c r="BX814" s="72"/>
      <c r="BY814" s="72"/>
      <c r="BZ814" s="72"/>
      <c r="CA814" s="72"/>
      <c r="CB814" s="72"/>
      <c r="CC814" s="72"/>
      <c r="CD814" s="72"/>
      <c r="CE814" s="72"/>
      <c r="CF814" s="72"/>
      <c r="CG814" s="72"/>
      <c r="CH814" s="72"/>
      <c r="CI814" s="72"/>
      <c r="CJ814" s="72"/>
      <c r="CK814" s="72"/>
      <c r="CL814" s="72"/>
      <c r="CM814" s="72"/>
      <c r="CN814" s="72"/>
      <c r="CO814" s="72"/>
      <c r="CP814" s="72"/>
      <c r="CQ814" s="72"/>
      <c r="CR814" s="72"/>
      <c r="CS814" s="72"/>
    </row>
    <row r="815" spans="1:97" ht="12.75" customHeight="1">
      <c r="A815" s="35"/>
      <c r="C815" s="63"/>
      <c r="AM815" s="72"/>
      <c r="AN815" s="72"/>
      <c r="AO815" s="72"/>
      <c r="AP815" s="72"/>
      <c r="AQ815" s="72"/>
      <c r="AR815" s="72"/>
      <c r="AS815" s="72"/>
      <c r="AT815" s="72"/>
      <c r="AU815" s="72"/>
      <c r="AV815" s="72"/>
      <c r="AW815" s="72"/>
      <c r="AX815" s="72"/>
      <c r="AY815" s="72"/>
      <c r="AZ815" s="72"/>
      <c r="BA815" s="72"/>
      <c r="BB815" s="72"/>
      <c r="BC815" s="72"/>
      <c r="BD815" s="72"/>
      <c r="BE815" s="72"/>
      <c r="BF815" s="72"/>
      <c r="BG815" s="72"/>
      <c r="BH815" s="72"/>
      <c r="BI815" s="72"/>
      <c r="BJ815" s="72"/>
      <c r="BK815" s="72"/>
      <c r="BL815" s="72"/>
      <c r="BM815" s="72"/>
      <c r="BN815" s="72"/>
      <c r="BO815" s="72"/>
      <c r="BP815" s="72"/>
      <c r="BQ815" s="72"/>
      <c r="BR815" s="72"/>
      <c r="BS815" s="72"/>
      <c r="BT815" s="72"/>
      <c r="BU815" s="72"/>
      <c r="BV815" s="72"/>
      <c r="BW815" s="72"/>
      <c r="BX815" s="72"/>
      <c r="BY815" s="72"/>
      <c r="BZ815" s="72"/>
      <c r="CA815" s="72"/>
      <c r="CB815" s="72"/>
      <c r="CC815" s="72"/>
      <c r="CD815" s="72"/>
      <c r="CE815" s="72"/>
      <c r="CF815" s="72"/>
      <c r="CG815" s="72"/>
      <c r="CH815" s="72"/>
      <c r="CI815" s="72"/>
      <c r="CJ815" s="72"/>
      <c r="CK815" s="72"/>
      <c r="CL815" s="72"/>
      <c r="CM815" s="72"/>
      <c r="CN815" s="72"/>
      <c r="CO815" s="72"/>
      <c r="CP815" s="72"/>
      <c r="CQ815" s="72"/>
      <c r="CR815" s="72"/>
      <c r="CS815" s="72"/>
    </row>
    <row r="816" spans="1:97" ht="12.75" customHeight="1">
      <c r="A816" s="63" t="s">
        <v>411</v>
      </c>
      <c r="C816" s="63" t="s">
        <v>705</v>
      </c>
      <c r="AM816" s="72"/>
      <c r="AN816" s="72"/>
      <c r="AO816" s="72"/>
      <c r="AP816" s="72"/>
      <c r="AQ816" s="72"/>
      <c r="AR816" s="72"/>
      <c r="AS816" s="72"/>
      <c r="AT816" s="72"/>
      <c r="AU816" s="72"/>
      <c r="AV816" s="72"/>
      <c r="AW816" s="72"/>
      <c r="AX816" s="72"/>
      <c r="AY816" s="72"/>
      <c r="AZ816" s="72"/>
      <c r="BA816" s="72"/>
      <c r="BB816" s="72"/>
      <c r="BC816" s="72"/>
      <c r="BD816" s="72"/>
      <c r="BE816" s="72"/>
      <c r="BF816" s="72"/>
      <c r="BG816" s="72"/>
      <c r="BH816" s="72"/>
      <c r="BI816" s="72"/>
      <c r="BJ816" s="72"/>
      <c r="BK816" s="72"/>
      <c r="BL816" s="72"/>
      <c r="BM816" s="72"/>
      <c r="BN816" s="72"/>
      <c r="BO816" s="72"/>
      <c r="BP816" s="72"/>
      <c r="BQ816" s="72"/>
      <c r="BR816" s="72"/>
      <c r="BS816" s="72"/>
      <c r="BT816" s="72"/>
      <c r="BU816" s="72"/>
      <c r="BV816" s="72"/>
      <c r="BW816" s="72"/>
      <c r="BX816" s="72"/>
      <c r="BY816" s="72"/>
      <c r="BZ816" s="72"/>
      <c r="CA816" s="72"/>
      <c r="CB816" s="72"/>
      <c r="CC816" s="72"/>
      <c r="CD816" s="72"/>
      <c r="CE816" s="72"/>
      <c r="CF816" s="72"/>
      <c r="CG816" s="72"/>
      <c r="CH816" s="72"/>
      <c r="CI816" s="72"/>
      <c r="CJ816" s="72"/>
      <c r="CK816" s="72"/>
      <c r="CL816" s="72"/>
      <c r="CM816" s="72"/>
      <c r="CN816" s="72"/>
      <c r="CO816" s="72"/>
      <c r="CP816" s="72"/>
      <c r="CQ816" s="72"/>
      <c r="CR816" s="72"/>
      <c r="CS816" s="72"/>
    </row>
    <row r="817" spans="1:97" ht="12.75" customHeight="1">
      <c r="B817" s="35"/>
      <c r="C817" s="35"/>
      <c r="D817" s="35"/>
      <c r="E817" s="35"/>
      <c r="F817" s="35"/>
      <c r="G817" s="3"/>
      <c r="H817" s="35"/>
      <c r="AM817" s="72"/>
      <c r="AO817" s="65"/>
      <c r="AP817" s="65"/>
      <c r="AQ817" s="65"/>
      <c r="AR817" s="65"/>
      <c r="AS817" s="65"/>
      <c r="AT817" s="65"/>
      <c r="AU817" s="65"/>
      <c r="AV817" s="65"/>
      <c r="AW817" s="65" t="s">
        <v>467</v>
      </c>
      <c r="AY817" s="65"/>
      <c r="AZ817" s="65"/>
      <c r="BA817" s="2188" t="s">
        <v>412</v>
      </c>
      <c r="BB817" s="2189"/>
      <c r="BC817" s="72"/>
      <c r="BD817" s="72"/>
      <c r="BE817" s="72"/>
      <c r="BF817" s="65" t="s">
        <v>469</v>
      </c>
      <c r="BG817" s="65"/>
      <c r="BH817" s="65"/>
      <c r="BI817" s="65"/>
      <c r="BJ817" s="65"/>
      <c r="BK817" s="65"/>
      <c r="BL817" s="65"/>
      <c r="BM817" s="65"/>
      <c r="BN817" s="65"/>
      <c r="BO817" s="2185" t="str">
        <f>T189</f>
        <v>Fresno</v>
      </c>
      <c r="BP817" s="2186"/>
      <c r="BQ817" s="2186"/>
      <c r="BR817" s="2186"/>
      <c r="BS817" s="2186"/>
      <c r="BT817" s="2186"/>
      <c r="BU817" s="2187"/>
      <c r="BV817" s="72"/>
      <c r="BW817" s="72"/>
      <c r="BX817" s="72"/>
      <c r="BY817" s="72"/>
      <c r="BZ817" s="72"/>
      <c r="CA817" s="72"/>
      <c r="CB817" s="72"/>
      <c r="CC817" s="72"/>
      <c r="CD817" s="72"/>
      <c r="CE817" s="72"/>
      <c r="CF817" s="72"/>
      <c r="CG817" s="72"/>
      <c r="CH817" s="72"/>
      <c r="CI817" s="72"/>
      <c r="CJ817" s="72"/>
      <c r="CK817" s="72"/>
      <c r="CL817" s="72"/>
      <c r="CM817" s="72"/>
      <c r="CN817" s="72"/>
      <c r="CO817" s="72"/>
      <c r="CP817" s="72"/>
      <c r="CQ817" s="72"/>
      <c r="CR817" s="72"/>
      <c r="CS817" s="72"/>
    </row>
    <row r="818" spans="1:97" ht="14.1" customHeight="1">
      <c r="C818" s="63" t="s">
        <v>516</v>
      </c>
      <c r="J818" s="90" t="s">
        <v>362</v>
      </c>
      <c r="K818" s="91"/>
      <c r="L818" s="91"/>
      <c r="M818" s="91"/>
      <c r="N818" s="91"/>
      <c r="O818" s="91"/>
      <c r="P818" s="91"/>
      <c r="Q818" s="91"/>
      <c r="R818" s="91"/>
      <c r="S818" s="91"/>
      <c r="T818" s="91"/>
      <c r="U818" s="91"/>
      <c r="V818" s="92"/>
      <c r="W818" s="1774">
        <v>500</v>
      </c>
      <c r="X818" s="1774"/>
      <c r="Y818" s="1774"/>
      <c r="Z818" s="1774"/>
      <c r="AA818" s="1774"/>
      <c r="AB818" s="1774"/>
      <c r="AC818" s="1774"/>
      <c r="AM818" s="72"/>
      <c r="BH818" s="72"/>
      <c r="BI818" s="72"/>
      <c r="BJ818" s="72"/>
      <c r="BK818" s="72"/>
      <c r="BL818" s="72"/>
      <c r="BM818" s="72"/>
      <c r="BN818" s="72"/>
      <c r="BO818" s="72"/>
      <c r="BP818" s="72"/>
      <c r="BQ818" s="72"/>
      <c r="BR818" s="72"/>
      <c r="BS818" s="72"/>
      <c r="BT818" s="72"/>
      <c r="BU818" s="72"/>
      <c r="BV818" s="72"/>
      <c r="BW818" s="72"/>
      <c r="BX818" s="72"/>
      <c r="BY818" s="72"/>
      <c r="BZ818" s="72"/>
      <c r="CA818" s="72"/>
      <c r="CB818" s="72"/>
      <c r="CC818" s="72"/>
      <c r="CD818" s="72"/>
      <c r="CE818" s="72"/>
      <c r="CF818" s="72"/>
      <c r="CG818" s="72"/>
      <c r="CH818" s="72"/>
      <c r="CI818" s="72"/>
      <c r="CJ818" s="72"/>
      <c r="CK818" s="72"/>
      <c r="CL818" s="72"/>
      <c r="CM818" s="72"/>
      <c r="CN818" s="72"/>
      <c r="CO818" s="72"/>
      <c r="CP818" s="72"/>
      <c r="CQ818" s="72"/>
      <c r="CR818" s="72"/>
      <c r="CS818" s="72"/>
    </row>
    <row r="819" spans="1:97" s="65" customFormat="1" ht="12.75" customHeight="1">
      <c r="A819" s="16"/>
      <c r="B819" s="16"/>
      <c r="C819" s="16"/>
      <c r="D819" s="16"/>
      <c r="E819" s="16"/>
      <c r="F819" s="16"/>
      <c r="G819" s="16"/>
      <c r="H819" s="16"/>
      <c r="I819" s="16"/>
      <c r="J819" s="90" t="s">
        <v>361</v>
      </c>
      <c r="K819" s="91"/>
      <c r="L819" s="91"/>
      <c r="M819" s="91"/>
      <c r="N819" s="91"/>
      <c r="O819" s="91"/>
      <c r="P819" s="91"/>
      <c r="Q819" s="91"/>
      <c r="R819" s="91"/>
      <c r="S819" s="91"/>
      <c r="T819" s="91"/>
      <c r="U819" s="91"/>
      <c r="V819" s="92"/>
      <c r="W819" s="1774">
        <v>5000</v>
      </c>
      <c r="X819" s="1774"/>
      <c r="Y819" s="1774"/>
      <c r="Z819" s="1774"/>
      <c r="AA819" s="1774"/>
      <c r="AB819" s="1774"/>
      <c r="AC819" s="1774"/>
      <c r="AD819" s="16"/>
      <c r="AE819" s="16"/>
      <c r="AF819" s="16"/>
      <c r="AG819" s="16"/>
      <c r="AH819" s="16"/>
      <c r="AI819" s="16"/>
      <c r="AJ819" s="16"/>
      <c r="AK819" s="16"/>
      <c r="AL819" s="16"/>
      <c r="AM819" s="66"/>
      <c r="AN819" s="66"/>
      <c r="AO819" s="30"/>
      <c r="AP819" s="30"/>
      <c r="AQ819" s="30"/>
      <c r="AR819" s="30"/>
      <c r="AS819" s="30"/>
      <c r="BA819" s="120" t="s">
        <v>414</v>
      </c>
      <c r="BC819" s="68"/>
      <c r="BD819" s="68"/>
      <c r="BE819" s="68"/>
      <c r="BF819" s="68"/>
      <c r="BG819" s="68"/>
    </row>
    <row r="820" spans="1:97" s="65" customFormat="1" ht="12.75" customHeight="1">
      <c r="A820" s="16"/>
      <c r="B820" s="16"/>
      <c r="C820" s="16"/>
      <c r="D820" s="16"/>
      <c r="E820" s="16"/>
      <c r="F820" s="16"/>
      <c r="G820" s="16"/>
      <c r="H820" s="16"/>
      <c r="I820" s="16"/>
      <c r="J820" s="90" t="s">
        <v>360</v>
      </c>
      <c r="K820" s="91"/>
      <c r="L820" s="91"/>
      <c r="M820" s="91"/>
      <c r="N820" s="91"/>
      <c r="O820" s="91"/>
      <c r="P820" s="91"/>
      <c r="Q820" s="91"/>
      <c r="R820" s="91"/>
      <c r="S820" s="91"/>
      <c r="T820" s="91"/>
      <c r="U820" s="91"/>
      <c r="V820" s="92"/>
      <c r="W820" s="1774">
        <v>12500</v>
      </c>
      <c r="X820" s="1774"/>
      <c r="Y820" s="1774"/>
      <c r="Z820" s="1774"/>
      <c r="AA820" s="1774"/>
      <c r="AB820" s="1774"/>
      <c r="AC820" s="1774"/>
      <c r="AD820" s="16"/>
      <c r="AE820" s="16"/>
      <c r="AF820" s="16"/>
      <c r="AG820" s="16"/>
      <c r="AH820" s="16"/>
      <c r="AI820" s="16"/>
      <c r="AJ820" s="16"/>
      <c r="AK820" s="16"/>
      <c r="AL820" s="16"/>
      <c r="AM820" s="66"/>
      <c r="AN820" s="66"/>
      <c r="AO820" s="30"/>
      <c r="AP820" s="30"/>
      <c r="AQ820" s="30"/>
      <c r="AR820" s="30"/>
      <c r="AS820" s="30"/>
      <c r="BA820" s="120"/>
      <c r="BC820" s="68"/>
      <c r="BD820" s="68"/>
      <c r="BE820" s="68"/>
      <c r="BF820" s="68"/>
      <c r="BG820" s="68"/>
    </row>
    <row r="821" spans="1:97" s="65" customFormat="1" ht="12.75" customHeight="1">
      <c r="A821" s="16"/>
      <c r="B821" s="16"/>
      <c r="C821" s="16"/>
      <c r="D821" s="16"/>
      <c r="E821" s="16"/>
      <c r="F821" s="16"/>
      <c r="G821" s="16"/>
      <c r="H821" s="16"/>
      <c r="I821" s="16"/>
      <c r="J821" s="90" t="s">
        <v>359</v>
      </c>
      <c r="K821" s="91"/>
      <c r="L821" s="91"/>
      <c r="M821" s="91"/>
      <c r="N821" s="91"/>
      <c r="O821" s="91"/>
      <c r="P821" s="91"/>
      <c r="Q821" s="91"/>
      <c r="R821" s="91"/>
      <c r="S821" s="91"/>
      <c r="T821" s="91"/>
      <c r="U821" s="91"/>
      <c r="V821" s="92"/>
      <c r="W821" s="1774">
        <v>13620</v>
      </c>
      <c r="X821" s="1774"/>
      <c r="Y821" s="1774"/>
      <c r="Z821" s="1774"/>
      <c r="AA821" s="1774"/>
      <c r="AB821" s="1774"/>
      <c r="AC821" s="1774"/>
      <c r="AD821" s="16"/>
      <c r="AE821" s="16"/>
      <c r="AF821" s="16"/>
      <c r="AG821" s="16"/>
      <c r="AH821" s="16"/>
      <c r="AI821" s="16"/>
      <c r="AJ821" s="16"/>
      <c r="AK821" s="16"/>
      <c r="AL821" s="16"/>
      <c r="AM821" s="66"/>
      <c r="AN821" s="66"/>
      <c r="AO821" s="30"/>
      <c r="AP821" s="30"/>
      <c r="AQ821" s="30"/>
      <c r="AR821" s="30"/>
      <c r="AS821" s="30"/>
      <c r="BA821" s="120" t="s">
        <v>412</v>
      </c>
      <c r="BB821" s="67" t="s">
        <v>2219</v>
      </c>
      <c r="BC821" s="68"/>
      <c r="BD821" s="68"/>
      <c r="BE821" s="68"/>
      <c r="BF821" s="68"/>
      <c r="BG821" s="68"/>
      <c r="BI821" s="67" t="s">
        <v>2220</v>
      </c>
      <c r="BO821" s="121"/>
      <c r="BP821" s="121"/>
      <c r="BQ821" s="121"/>
      <c r="BR821" s="121"/>
      <c r="BS821" s="121"/>
      <c r="BT821" s="121"/>
      <c r="BU821" s="121"/>
      <c r="BV821" s="121"/>
      <c r="BW821" s="121"/>
      <c r="BX821" s="121"/>
      <c r="BY821" s="121"/>
      <c r="BZ821" s="121"/>
      <c r="CA821" s="121"/>
      <c r="CB821" s="121"/>
      <c r="CC821" s="121"/>
      <c r="CD821" s="121"/>
      <c r="CE821" s="121"/>
      <c r="CF821" s="121"/>
      <c r="CG821" s="121"/>
      <c r="CH821" s="121"/>
      <c r="CI821" s="121"/>
      <c r="CJ821" s="121"/>
      <c r="CK821" s="121"/>
      <c r="CL821" s="121"/>
      <c r="CM821" s="121"/>
      <c r="CN821" s="121"/>
      <c r="CO821" s="121"/>
      <c r="CP821" s="121"/>
      <c r="CQ821" s="121"/>
      <c r="CR821" s="121"/>
      <c r="CS821" s="121"/>
    </row>
    <row r="822" spans="1:97" s="65" customFormat="1" ht="12.75" customHeight="1">
      <c r="A822" s="16"/>
      <c r="B822" s="16"/>
      <c r="C822" s="16"/>
      <c r="D822" s="16"/>
      <c r="E822" s="16"/>
      <c r="F822" s="16"/>
      <c r="G822" s="16"/>
      <c r="H822" s="16"/>
      <c r="I822" s="16"/>
      <c r="J822" s="90" t="s">
        <v>311</v>
      </c>
      <c r="K822" s="91"/>
      <c r="L822" s="91"/>
      <c r="M822" s="1808" t="s">
        <v>2439</v>
      </c>
      <c r="N822" s="1991"/>
      <c r="O822" s="1991"/>
      <c r="P822" s="1991"/>
      <c r="Q822" s="1991"/>
      <c r="R822" s="1991"/>
      <c r="S822" s="1991"/>
      <c r="T822" s="1991"/>
      <c r="U822" s="1991"/>
      <c r="V822" s="1992"/>
      <c r="W822" s="1774">
        <v>10240</v>
      </c>
      <c r="X822" s="1774"/>
      <c r="Y822" s="1774"/>
      <c r="Z822" s="1774"/>
      <c r="AA822" s="1774"/>
      <c r="AB822" s="1774"/>
      <c r="AC822" s="1774"/>
      <c r="AD822" s="16"/>
      <c r="AE822" s="16"/>
      <c r="AF822" s="16"/>
      <c r="AG822" s="16"/>
      <c r="AH822" s="16"/>
      <c r="AI822" s="16"/>
      <c r="AJ822" s="16"/>
      <c r="AK822" s="16"/>
      <c r="AL822" s="16"/>
      <c r="AM822" s="66"/>
      <c r="AN822" s="66"/>
      <c r="AO822" s="30"/>
      <c r="AP822" s="30"/>
      <c r="AQ822" s="30"/>
      <c r="AR822" s="30"/>
      <c r="AS822" s="30"/>
      <c r="BA822" s="120"/>
      <c r="BB822" s="67"/>
      <c r="BC822" s="68"/>
      <c r="BD822" s="68"/>
      <c r="BE822" s="68"/>
      <c r="BF822" s="68"/>
      <c r="BG822" s="68"/>
      <c r="BI822" s="67"/>
      <c r="BO822" s="121"/>
      <c r="BP822" s="121"/>
      <c r="BQ822" s="121"/>
      <c r="BR822" s="121"/>
      <c r="BS822" s="121"/>
      <c r="BT822" s="121"/>
      <c r="BU822" s="121"/>
      <c r="BV822" s="121"/>
      <c r="BW822" s="121"/>
      <c r="BX822" s="121"/>
      <c r="BY822" s="121"/>
      <c r="BZ822" s="121"/>
      <c r="CA822" s="121"/>
      <c r="CB822" s="121"/>
      <c r="CC822" s="121"/>
      <c r="CD822" s="121"/>
      <c r="CE822" s="121"/>
      <c r="CF822" s="121"/>
      <c r="CG822" s="121"/>
      <c r="CH822" s="121"/>
      <c r="CI822" s="121"/>
      <c r="CJ822" s="121"/>
      <c r="CK822" s="121"/>
      <c r="CL822" s="121"/>
      <c r="CM822" s="121"/>
      <c r="CN822" s="121"/>
      <c r="CO822" s="121"/>
      <c r="CP822" s="121"/>
      <c r="CQ822" s="121"/>
      <c r="CR822" s="121"/>
      <c r="CS822" s="121"/>
    </row>
    <row r="823" spans="1:97" s="65" customFormat="1" ht="12.75" customHeight="1">
      <c r="A823" s="16"/>
      <c r="B823" s="16"/>
      <c r="C823" s="16"/>
      <c r="D823" s="16"/>
      <c r="E823" s="16"/>
      <c r="F823" s="16"/>
      <c r="G823" s="16"/>
      <c r="H823" s="16"/>
      <c r="I823" s="16"/>
      <c r="J823" s="90"/>
      <c r="K823" s="91"/>
      <c r="L823" s="91"/>
      <c r="M823" s="91"/>
      <c r="N823" s="91"/>
      <c r="O823" s="91"/>
      <c r="P823" s="91"/>
      <c r="Q823" s="91"/>
      <c r="R823" s="91"/>
      <c r="S823" s="91"/>
      <c r="T823" s="91"/>
      <c r="U823" s="91"/>
      <c r="V823" s="100" t="s">
        <v>515</v>
      </c>
      <c r="W823" s="1749">
        <f>SUM(W818:AC822)</f>
        <v>41860</v>
      </c>
      <c r="X823" s="1750"/>
      <c r="Y823" s="1750"/>
      <c r="Z823" s="1750"/>
      <c r="AA823" s="1750"/>
      <c r="AB823" s="1750"/>
      <c r="AC823" s="1751"/>
      <c r="AD823" s="16"/>
      <c r="AE823" s="16"/>
      <c r="AF823" s="16"/>
      <c r="AG823" s="16"/>
      <c r="AH823" s="16"/>
      <c r="AI823" s="16"/>
      <c r="AJ823" s="16"/>
      <c r="AK823" s="16"/>
      <c r="AL823" s="16"/>
      <c r="AM823" s="66"/>
      <c r="AN823" s="66"/>
      <c r="AO823" s="30"/>
      <c r="AP823" s="30"/>
      <c r="AQ823" s="30"/>
      <c r="AR823" s="30"/>
      <c r="AS823" s="30"/>
      <c r="BA823" s="120" t="s">
        <v>414</v>
      </c>
      <c r="BB823" s="67"/>
      <c r="BC823" s="68"/>
      <c r="BD823" s="68"/>
      <c r="BE823" s="68"/>
      <c r="BF823" s="68"/>
      <c r="BG823" s="68"/>
      <c r="BI823" s="67"/>
      <c r="BO823" s="121"/>
      <c r="BP823" s="121"/>
      <c r="BQ823" s="121"/>
      <c r="BR823" s="121"/>
      <c r="BS823" s="121"/>
      <c r="BT823" s="121"/>
      <c r="BU823" s="121"/>
      <c r="BV823" s="121"/>
      <c r="BW823" s="121"/>
      <c r="BX823" s="121"/>
      <c r="BY823" s="121"/>
      <c r="BZ823" s="121"/>
      <c r="CA823" s="121"/>
      <c r="CB823" s="121"/>
      <c r="CC823" s="121"/>
      <c r="CD823" s="121"/>
      <c r="CE823" s="121"/>
      <c r="CF823" s="121"/>
      <c r="CG823" s="121"/>
      <c r="CH823" s="121"/>
      <c r="CI823" s="121"/>
      <c r="CJ823" s="121"/>
      <c r="CK823" s="121"/>
      <c r="CL823" s="121"/>
      <c r="CM823" s="121"/>
      <c r="CN823" s="121"/>
      <c r="CO823" s="121"/>
      <c r="CP823" s="121"/>
      <c r="CQ823" s="121"/>
      <c r="CR823" s="121"/>
      <c r="CS823" s="121"/>
    </row>
    <row r="824" spans="1:97" s="65" customFormat="1" ht="12.75" customHeight="1">
      <c r="A824" s="16"/>
      <c r="B824" s="16"/>
      <c r="C824" s="16"/>
      <c r="D824" s="16"/>
      <c r="E824" s="16"/>
      <c r="F824" s="16"/>
      <c r="G824" s="16"/>
      <c r="H824" s="16"/>
      <c r="I824" s="16"/>
      <c r="J824" s="16"/>
      <c r="K824" s="16"/>
      <c r="L824" s="16"/>
      <c r="M824" s="16"/>
      <c r="N824" s="16"/>
      <c r="O824" s="16"/>
      <c r="P824" s="16"/>
      <c r="Q824" s="16"/>
      <c r="R824" s="16"/>
      <c r="S824" s="16"/>
      <c r="T824" s="16"/>
      <c r="U824" s="16"/>
      <c r="V824" s="16"/>
      <c r="W824" s="16"/>
      <c r="X824" s="16"/>
      <c r="Y824" s="16"/>
      <c r="Z824" s="16"/>
      <c r="AA824" s="16"/>
      <c r="AB824" s="16"/>
      <c r="AC824" s="16"/>
      <c r="AD824" s="16"/>
      <c r="AE824" s="16"/>
      <c r="AF824" s="16"/>
      <c r="AG824" s="16"/>
      <c r="AH824" s="16"/>
      <c r="AI824" s="16"/>
      <c r="AJ824" s="16"/>
      <c r="AK824" s="16"/>
      <c r="AL824" s="16"/>
      <c r="AM824" s="66"/>
      <c r="AN824" s="66"/>
      <c r="AO824" s="30"/>
      <c r="AP824" s="30"/>
      <c r="AQ824" s="30"/>
      <c r="AR824" s="30"/>
      <c r="AS824" s="30"/>
      <c r="BA824" s="120"/>
      <c r="BB824" s="67"/>
      <c r="BC824" s="68"/>
      <c r="BD824" s="68"/>
      <c r="BE824" s="68"/>
      <c r="BF824" s="68"/>
      <c r="BG824" s="68"/>
      <c r="BI824" s="67"/>
      <c r="BO824" s="121"/>
      <c r="BP824" s="121"/>
      <c r="BQ824" s="121"/>
      <c r="BR824" s="121"/>
      <c r="BS824" s="121"/>
      <c r="BT824" s="121"/>
      <c r="BU824" s="121"/>
      <c r="BV824" s="121"/>
      <c r="BW824" s="121"/>
      <c r="BX824" s="121"/>
      <c r="BY824" s="121"/>
      <c r="BZ824" s="121"/>
      <c r="CA824" s="121"/>
      <c r="CB824" s="121"/>
      <c r="CC824" s="121"/>
      <c r="CD824" s="121"/>
      <c r="CE824" s="121"/>
      <c r="CF824" s="121"/>
      <c r="CG824" s="121"/>
      <c r="CH824" s="121"/>
      <c r="CI824" s="121"/>
      <c r="CJ824" s="121"/>
      <c r="CK824" s="121"/>
      <c r="CL824" s="121"/>
      <c r="CM824" s="121"/>
      <c r="CN824" s="121"/>
      <c r="CO824" s="121"/>
      <c r="CP824" s="121"/>
      <c r="CQ824" s="121"/>
      <c r="CR824" s="121"/>
      <c r="CS824" s="121"/>
    </row>
    <row r="825" spans="1:97" s="65" customFormat="1" ht="12.75" customHeight="1">
      <c r="A825" s="16"/>
      <c r="B825" s="16"/>
      <c r="C825" s="63" t="s">
        <v>517</v>
      </c>
      <c r="D825" s="16"/>
      <c r="E825" s="16"/>
      <c r="F825" s="16"/>
      <c r="G825" s="16"/>
      <c r="H825" s="16"/>
      <c r="I825" s="16"/>
      <c r="J825" s="1848" t="s">
        <v>518</v>
      </c>
      <c r="K825" s="1849"/>
      <c r="L825" s="1849"/>
      <c r="M825" s="1849"/>
      <c r="N825" s="1849"/>
      <c r="O825" s="1849"/>
      <c r="P825" s="1849"/>
      <c r="Q825" s="1849"/>
      <c r="R825" s="1849"/>
      <c r="S825" s="1849"/>
      <c r="T825" s="1849"/>
      <c r="U825" s="1849"/>
      <c r="V825" s="1851"/>
      <c r="W825" s="1743">
        <v>32400</v>
      </c>
      <c r="X825" s="1744"/>
      <c r="Y825" s="1744"/>
      <c r="Z825" s="1744"/>
      <c r="AA825" s="1744"/>
      <c r="AB825" s="1744"/>
      <c r="AC825" s="1745"/>
      <c r="AD825" s="16"/>
      <c r="AE825" s="16"/>
      <c r="AF825" s="16"/>
      <c r="AG825" s="16"/>
      <c r="AH825" s="16"/>
      <c r="AI825" s="16"/>
      <c r="AJ825" s="16"/>
      <c r="AK825" s="16"/>
      <c r="AL825" s="16"/>
      <c r="AM825" s="66"/>
      <c r="AN825" s="66"/>
      <c r="AO825" s="30"/>
      <c r="AP825" s="30"/>
      <c r="AQ825" s="30"/>
      <c r="AR825" s="30"/>
      <c r="AS825" s="30"/>
      <c r="BA825" s="120"/>
      <c r="BB825" s="67"/>
      <c r="BC825" s="68"/>
      <c r="BD825" s="68"/>
      <c r="BE825" s="68"/>
      <c r="BF825" s="68"/>
      <c r="BG825" s="68"/>
      <c r="BI825" s="67"/>
      <c r="BO825" s="121"/>
      <c r="BP825" s="121"/>
      <c r="BQ825" s="121"/>
      <c r="BR825" s="121"/>
      <c r="BS825" s="121"/>
      <c r="BT825" s="121"/>
      <c r="BU825" s="121"/>
      <c r="BV825" s="121"/>
      <c r="BW825" s="121"/>
      <c r="BX825" s="121"/>
      <c r="BY825" s="121"/>
      <c r="BZ825" s="121"/>
      <c r="CA825" s="121"/>
      <c r="CB825" s="121"/>
      <c r="CC825" s="121"/>
      <c r="CD825" s="121"/>
      <c r="CE825" s="121"/>
      <c r="CF825" s="121"/>
      <c r="CG825" s="121"/>
      <c r="CH825" s="121"/>
      <c r="CI825" s="121"/>
      <c r="CJ825" s="121"/>
      <c r="CK825" s="121"/>
      <c r="CL825" s="121"/>
      <c r="CM825" s="121"/>
      <c r="CN825" s="121"/>
      <c r="CO825" s="121"/>
      <c r="CP825" s="121"/>
      <c r="CQ825" s="121"/>
      <c r="CR825" s="121"/>
      <c r="CS825" s="121"/>
    </row>
    <row r="826" spans="1:97" s="65" customFormat="1" ht="12.75" customHeight="1">
      <c r="A826" s="16"/>
      <c r="B826" s="16"/>
      <c r="C826" s="16"/>
      <c r="D826" s="16"/>
      <c r="E826" s="16"/>
      <c r="F826" s="16"/>
      <c r="G826" s="16"/>
      <c r="H826" s="16"/>
      <c r="I826" s="16"/>
      <c r="J826" s="16"/>
      <c r="K826" s="16"/>
      <c r="L826" s="16"/>
      <c r="M826" s="16"/>
      <c r="N826" s="16"/>
      <c r="O826" s="16"/>
      <c r="P826" s="16"/>
      <c r="Q826" s="16"/>
      <c r="R826" s="16"/>
      <c r="S826" s="16"/>
      <c r="T826" s="16"/>
      <c r="U826" s="16"/>
      <c r="V826" s="16"/>
      <c r="W826" s="16"/>
      <c r="X826" s="16"/>
      <c r="Y826" s="16"/>
      <c r="Z826" s="16"/>
      <c r="AA826" s="16"/>
      <c r="AB826" s="16"/>
      <c r="AC826" s="16"/>
      <c r="AD826" s="16"/>
      <c r="AE826" s="16"/>
      <c r="AF826" s="16"/>
      <c r="AG826" s="16"/>
      <c r="AH826" s="16"/>
      <c r="AI826" s="16"/>
      <c r="AJ826" s="16"/>
      <c r="AK826" s="16"/>
      <c r="AL826" s="16"/>
      <c r="AR826" s="30"/>
      <c r="AS826" s="30"/>
      <c r="BA826" s="120"/>
      <c r="BB826" s="67"/>
      <c r="BC826" s="68"/>
      <c r="BD826" s="68"/>
      <c r="BE826" s="68"/>
      <c r="BF826" s="68"/>
      <c r="BG826" s="68"/>
      <c r="BI826" s="67"/>
      <c r="BO826" s="121"/>
      <c r="BP826" s="121"/>
      <c r="BQ826" s="121"/>
      <c r="BR826" s="121"/>
      <c r="BS826" s="121"/>
      <c r="BT826" s="121"/>
      <c r="BU826" s="121"/>
      <c r="BV826" s="121"/>
      <c r="BW826" s="121"/>
      <c r="BX826" s="121"/>
      <c r="BY826" s="121"/>
      <c r="BZ826" s="121"/>
      <c r="CA826" s="121"/>
      <c r="CB826" s="121"/>
      <c r="CC826" s="121"/>
      <c r="CD826" s="121"/>
      <c r="CE826" s="121"/>
      <c r="CF826" s="121"/>
      <c r="CG826" s="121"/>
      <c r="CH826" s="121"/>
      <c r="CI826" s="121"/>
      <c r="CJ826" s="121"/>
      <c r="CK826" s="121"/>
      <c r="CL826" s="121"/>
      <c r="CM826" s="121"/>
      <c r="CN826" s="121"/>
      <c r="CO826" s="121"/>
      <c r="CP826" s="121"/>
      <c r="CQ826" s="121"/>
      <c r="CR826" s="121"/>
      <c r="CS826" s="121"/>
    </row>
    <row r="827" spans="1:97" s="65" customFormat="1" ht="12.75" customHeight="1">
      <c r="A827" s="16"/>
      <c r="B827" s="16"/>
      <c r="C827" s="63" t="s">
        <v>801</v>
      </c>
      <c r="D827" s="16"/>
      <c r="E827" s="16"/>
      <c r="F827" s="16"/>
      <c r="G827" s="16"/>
      <c r="H827" s="16"/>
      <c r="I827" s="16"/>
      <c r="J827" s="90" t="s">
        <v>358</v>
      </c>
      <c r="K827" s="91"/>
      <c r="L827" s="91"/>
      <c r="M827" s="91"/>
      <c r="N827" s="91"/>
      <c r="O827" s="91"/>
      <c r="P827" s="91"/>
      <c r="Q827" s="91"/>
      <c r="R827" s="91"/>
      <c r="S827" s="91"/>
      <c r="T827" s="91"/>
      <c r="U827" s="91"/>
      <c r="V827" s="92"/>
      <c r="W827" s="2100">
        <v>0</v>
      </c>
      <c r="X827" s="2100"/>
      <c r="Y827" s="2100"/>
      <c r="Z827" s="2100"/>
      <c r="AA827" s="2100"/>
      <c r="AB827" s="2100"/>
      <c r="AC827" s="2100"/>
      <c r="AD827" s="16"/>
      <c r="AE827" s="16"/>
      <c r="AF827" s="16"/>
      <c r="AG827" s="16"/>
      <c r="AH827" s="16"/>
      <c r="AI827" s="16"/>
      <c r="AJ827" s="16"/>
      <c r="AK827" s="16"/>
      <c r="AL827" s="16"/>
      <c r="AR827" s="30"/>
      <c r="AS827" s="30"/>
      <c r="BC827" s="68"/>
      <c r="BD827" s="68"/>
      <c r="BE827" s="68"/>
      <c r="BF827" s="68"/>
      <c r="BG827" s="68"/>
      <c r="BO827" s="121"/>
      <c r="BP827" s="121"/>
      <c r="BQ827" s="121"/>
      <c r="BR827" s="121"/>
      <c r="BS827" s="121"/>
      <c r="BT827" s="121"/>
      <c r="BU827" s="121"/>
      <c r="BV827" s="121"/>
      <c r="BW827" s="121"/>
      <c r="BX827" s="121"/>
      <c r="BY827" s="121"/>
      <c r="BZ827" s="121"/>
      <c r="CA827" s="121"/>
      <c r="CB827" s="121"/>
      <c r="CC827" s="121"/>
      <c r="CD827" s="121"/>
      <c r="CE827" s="121"/>
      <c r="CF827" s="121"/>
      <c r="CG827" s="121"/>
      <c r="CH827" s="121"/>
      <c r="CI827" s="121"/>
      <c r="CJ827" s="121"/>
      <c r="CK827" s="121"/>
      <c r="CL827" s="121"/>
      <c r="CM827" s="121"/>
      <c r="CN827" s="121"/>
      <c r="CO827" s="121"/>
      <c r="CP827" s="121"/>
      <c r="CQ827" s="121"/>
      <c r="CR827" s="121"/>
      <c r="CS827" s="121"/>
    </row>
    <row r="828" spans="1:97" s="65" customFormat="1" ht="12.75" customHeight="1">
      <c r="A828" s="16"/>
      <c r="B828" s="16"/>
      <c r="C828" s="16"/>
      <c r="D828" s="16"/>
      <c r="E828" s="16"/>
      <c r="F828" s="16"/>
      <c r="G828" s="16"/>
      <c r="H828" s="16"/>
      <c r="I828" s="16"/>
      <c r="J828" s="90" t="s">
        <v>357</v>
      </c>
      <c r="K828" s="91"/>
      <c r="L828" s="91"/>
      <c r="M828" s="91"/>
      <c r="N828" s="91"/>
      <c r="O828" s="91"/>
      <c r="P828" s="91"/>
      <c r="Q828" s="91"/>
      <c r="R828" s="91"/>
      <c r="S828" s="91"/>
      <c r="T828" s="91"/>
      <c r="U828" s="91"/>
      <c r="V828" s="92"/>
      <c r="W828" s="2100">
        <v>0</v>
      </c>
      <c r="X828" s="2100"/>
      <c r="Y828" s="2100"/>
      <c r="Z828" s="2100"/>
      <c r="AA828" s="2100"/>
      <c r="AB828" s="2100"/>
      <c r="AC828" s="2100"/>
      <c r="AD828" s="16"/>
      <c r="AE828" s="16"/>
      <c r="AF828" s="16"/>
      <c r="AG828" s="16"/>
      <c r="AH828" s="16"/>
      <c r="AI828" s="16"/>
      <c r="AJ828" s="16"/>
      <c r="AK828" s="16"/>
      <c r="AL828" s="16"/>
      <c r="AR828" s="30"/>
      <c r="AS828" s="30"/>
      <c r="BC828" s="68"/>
      <c r="BD828" s="68"/>
      <c r="BE828" s="68"/>
      <c r="BF828" s="69"/>
      <c r="BG828" s="69"/>
      <c r="BH828" s="70"/>
      <c r="BI828" s="70"/>
      <c r="BJ828" s="70"/>
      <c r="BK828" s="70"/>
      <c r="BL828" s="70"/>
      <c r="BM828" s="70"/>
      <c r="BN828" s="70"/>
      <c r="BO828" s="121"/>
      <c r="BP828" s="121"/>
      <c r="BQ828" s="121"/>
      <c r="BR828" s="121"/>
      <c r="BS828" s="121"/>
      <c r="BT828" s="121"/>
      <c r="BU828" s="121"/>
      <c r="BV828" s="121"/>
      <c r="BW828" s="121"/>
      <c r="BX828" s="121"/>
      <c r="BY828" s="121"/>
      <c r="BZ828" s="121"/>
      <c r="CA828" s="121"/>
      <c r="CB828" s="121"/>
      <c r="CC828" s="121"/>
      <c r="CD828" s="121"/>
      <c r="CE828" s="121"/>
      <c r="CF828" s="121"/>
      <c r="CG828" s="121"/>
      <c r="CH828" s="121"/>
      <c r="CI828" s="121"/>
      <c r="CJ828" s="121"/>
      <c r="CK828" s="121"/>
      <c r="CL828" s="121"/>
      <c r="CM828" s="121"/>
      <c r="CN828" s="121"/>
      <c r="CO828" s="121"/>
      <c r="CP828" s="121"/>
      <c r="CQ828" s="121"/>
      <c r="CR828" s="121"/>
      <c r="CS828" s="121"/>
    </row>
    <row r="829" spans="1:97" s="65" customFormat="1" ht="12.75" customHeight="1">
      <c r="A829" s="16"/>
      <c r="B829" s="16"/>
      <c r="C829" s="16"/>
      <c r="D829" s="16"/>
      <c r="E829" s="16"/>
      <c r="F829" s="16"/>
      <c r="G829" s="16"/>
      <c r="H829" s="16"/>
      <c r="I829" s="16"/>
      <c r="J829" s="90" t="s">
        <v>866</v>
      </c>
      <c r="K829" s="91"/>
      <c r="L829" s="91"/>
      <c r="M829" s="91"/>
      <c r="N829" s="91"/>
      <c r="O829" s="91"/>
      <c r="P829" s="91"/>
      <c r="Q829" s="91"/>
      <c r="R829" s="91"/>
      <c r="S829" s="91"/>
      <c r="T829" s="91"/>
      <c r="U829" s="91"/>
      <c r="V829" s="92"/>
      <c r="W829" s="2100">
        <v>10000</v>
      </c>
      <c r="X829" s="2100"/>
      <c r="Y829" s="2100"/>
      <c r="Z829" s="2100"/>
      <c r="AA829" s="2100"/>
      <c r="AB829" s="2100"/>
      <c r="AC829" s="2100"/>
      <c r="AD829" s="16"/>
      <c r="AE829" s="16"/>
      <c r="AF829" s="16"/>
      <c r="AG829" s="16"/>
      <c r="AH829" s="16"/>
      <c r="AI829" s="16"/>
      <c r="AJ829" s="16"/>
      <c r="AK829" s="16"/>
      <c r="AL829" s="50"/>
      <c r="AR829" s="30"/>
      <c r="AS829" s="30"/>
      <c r="AT829" s="70"/>
      <c r="AU829" s="70"/>
      <c r="AV829" s="70"/>
      <c r="AW829" s="70"/>
      <c r="AX829" s="70"/>
      <c r="AY829" s="70"/>
      <c r="AZ829" s="70"/>
      <c r="BA829" s="70"/>
      <c r="BB829" s="70"/>
      <c r="BC829" s="122" t="s">
        <v>468</v>
      </c>
      <c r="BD829" s="123" t="s">
        <v>491</v>
      </c>
      <c r="BE829" s="123" t="s">
        <v>853</v>
      </c>
      <c r="BF829" s="123" t="s">
        <v>854</v>
      </c>
      <c r="BG829" s="123" t="s">
        <v>867</v>
      </c>
      <c r="BH829" s="70"/>
      <c r="BI829" s="70"/>
      <c r="BJ829" s="122" t="s">
        <v>468</v>
      </c>
      <c r="BK829" s="123" t="s">
        <v>491</v>
      </c>
      <c r="BL829" s="123" t="s">
        <v>853</v>
      </c>
      <c r="BM829" s="123" t="s">
        <v>854</v>
      </c>
      <c r="BN829" s="123" t="s">
        <v>867</v>
      </c>
      <c r="BO829" s="121"/>
      <c r="BP829" s="121"/>
      <c r="BQ829" s="121"/>
      <c r="BR829" s="121"/>
      <c r="BS829" s="121"/>
      <c r="BT829" s="121"/>
      <c r="BU829" s="121"/>
      <c r="BV829" s="121"/>
      <c r="BW829" s="121"/>
      <c r="BX829" s="121"/>
      <c r="BY829" s="121"/>
      <c r="BZ829" s="121"/>
      <c r="CA829" s="121"/>
      <c r="CB829" s="121"/>
      <c r="CC829" s="121"/>
      <c r="CD829" s="121"/>
      <c r="CE829" s="121"/>
      <c r="CF829" s="121"/>
      <c r="CG829" s="121"/>
      <c r="CH829" s="121"/>
      <c r="CI829" s="121"/>
      <c r="CJ829" s="121"/>
      <c r="CK829" s="121"/>
      <c r="CL829" s="121"/>
      <c r="CM829" s="121"/>
      <c r="CN829" s="121"/>
      <c r="CO829" s="121"/>
      <c r="CP829" s="121"/>
      <c r="CQ829" s="121"/>
      <c r="CR829" s="121"/>
      <c r="CS829" s="121"/>
    </row>
    <row r="830" spans="1:97" s="65" customFormat="1" ht="12.75" customHeight="1">
      <c r="A830" s="16"/>
      <c r="B830" s="16"/>
      <c r="C830" s="16"/>
      <c r="D830" s="16"/>
      <c r="E830" s="16"/>
      <c r="F830" s="16"/>
      <c r="G830" s="16"/>
      <c r="H830" s="16"/>
      <c r="I830" s="16"/>
      <c r="J830" s="112" t="s">
        <v>511</v>
      </c>
      <c r="K830" s="91"/>
      <c r="L830" s="91"/>
      <c r="M830" s="91"/>
      <c r="N830" s="91"/>
      <c r="O830" s="91"/>
      <c r="P830" s="91"/>
      <c r="Q830" s="91"/>
      <c r="R830" s="91"/>
      <c r="S830" s="91"/>
      <c r="T830" s="91"/>
      <c r="U830" s="91"/>
      <c r="V830" s="92"/>
      <c r="W830" s="2100">
        <v>16000</v>
      </c>
      <c r="X830" s="2100"/>
      <c r="Y830" s="2100"/>
      <c r="Z830" s="2100"/>
      <c r="AA830" s="2100"/>
      <c r="AB830" s="2100"/>
      <c r="AC830" s="2100"/>
      <c r="AD830" s="16"/>
      <c r="AE830" s="16"/>
      <c r="AF830" s="16"/>
      <c r="AG830" s="16"/>
      <c r="AH830" s="16"/>
      <c r="AI830" s="16"/>
      <c r="AJ830" s="16"/>
      <c r="AK830" s="16"/>
      <c r="AL830" s="50"/>
      <c r="AR830" s="30"/>
      <c r="AS830" s="30"/>
      <c r="AT830" s="70"/>
      <c r="AU830" s="70"/>
      <c r="AV830" s="70"/>
      <c r="AW830" s="70"/>
      <c r="AX830" s="70"/>
      <c r="AY830" s="70"/>
      <c r="AZ830" s="70"/>
      <c r="BA830" s="70"/>
      <c r="BB830" s="70"/>
      <c r="BC830" s="507"/>
      <c r="BD830" s="508"/>
      <c r="BE830" s="508"/>
      <c r="BF830" s="508"/>
      <c r="BG830" s="508"/>
      <c r="BH830" s="70"/>
      <c r="BI830" s="70"/>
      <c r="BJ830" s="507"/>
      <c r="BK830" s="508"/>
      <c r="BL830" s="508"/>
      <c r="BM830" s="508"/>
      <c r="BN830" s="508"/>
      <c r="BO830" s="121"/>
      <c r="BP830" s="121"/>
      <c r="BQ830" s="121"/>
      <c r="BR830" s="121"/>
      <c r="BS830" s="121"/>
      <c r="BT830" s="121"/>
      <c r="BU830" s="121"/>
      <c r="BV830" s="121"/>
      <c r="BW830" s="121"/>
      <c r="BX830" s="121"/>
      <c r="BY830" s="121"/>
      <c r="BZ830" s="121"/>
      <c r="CA830" s="121"/>
      <c r="CB830" s="121"/>
      <c r="CC830" s="121"/>
      <c r="CD830" s="121"/>
      <c r="CE830" s="121"/>
      <c r="CF830" s="121"/>
      <c r="CG830" s="121"/>
      <c r="CH830" s="121"/>
      <c r="CI830" s="121"/>
      <c r="CJ830" s="121"/>
      <c r="CK830" s="121"/>
      <c r="CL830" s="121"/>
      <c r="CM830" s="121"/>
      <c r="CN830" s="121"/>
      <c r="CO830" s="121"/>
      <c r="CP830" s="121"/>
      <c r="CQ830" s="121"/>
      <c r="CR830" s="121"/>
      <c r="CS830" s="121"/>
    </row>
    <row r="831" spans="1:97" s="8" customFormat="1" ht="12.75" customHeight="1">
      <c r="A831" s="16"/>
      <c r="B831" s="16"/>
      <c r="C831" s="16"/>
      <c r="D831" s="16"/>
      <c r="E831" s="16"/>
      <c r="F831" s="16"/>
      <c r="G831" s="16"/>
      <c r="H831" s="16"/>
      <c r="I831" s="16"/>
      <c r="J831" s="113"/>
      <c r="K831" s="94"/>
      <c r="L831" s="94"/>
      <c r="M831" s="94"/>
      <c r="N831" s="94"/>
      <c r="O831" s="94"/>
      <c r="P831" s="94"/>
      <c r="Q831" s="94"/>
      <c r="R831" s="94"/>
      <c r="S831" s="94"/>
      <c r="T831" s="94"/>
      <c r="U831" s="94"/>
      <c r="V831" s="100" t="s">
        <v>13</v>
      </c>
      <c r="W831" s="2177">
        <f>SUM(W827:AC830)</f>
        <v>26000</v>
      </c>
      <c r="X831" s="2177"/>
      <c r="Y831" s="2177"/>
      <c r="Z831" s="2177"/>
      <c r="AA831" s="2177"/>
      <c r="AB831" s="2177"/>
      <c r="AC831" s="2177"/>
      <c r="AD831" s="16"/>
      <c r="AE831" s="16"/>
      <c r="AF831" s="16"/>
      <c r="AG831" s="16"/>
      <c r="AH831" s="16"/>
      <c r="AI831" s="16"/>
      <c r="AJ831" s="16"/>
      <c r="AK831" s="16"/>
      <c r="AL831" s="50"/>
      <c r="AR831" s="30"/>
      <c r="AS831" s="30"/>
      <c r="AT831" s="70"/>
      <c r="AU831" s="70"/>
      <c r="AV831" s="70"/>
      <c r="AW831" s="70"/>
      <c r="AX831" s="70"/>
      <c r="AY831" s="70"/>
      <c r="AZ831" s="70"/>
      <c r="BA831" s="70"/>
      <c r="BB831" s="47" t="s">
        <v>471</v>
      </c>
      <c r="BC831" s="867">
        <v>365252</v>
      </c>
      <c r="BD831" s="867">
        <v>421132</v>
      </c>
      <c r="BE831" s="867">
        <v>508000</v>
      </c>
      <c r="BF831" s="867">
        <v>650240</v>
      </c>
      <c r="BG831" s="867">
        <v>724408</v>
      </c>
      <c r="BH831" s="70"/>
      <c r="BI831" s="47" t="s">
        <v>471</v>
      </c>
      <c r="BJ831" s="867">
        <v>365252</v>
      </c>
      <c r="BK831" s="867">
        <v>421132</v>
      </c>
      <c r="BL831" s="867">
        <v>508000</v>
      </c>
      <c r="BM831" s="867">
        <v>650240</v>
      </c>
      <c r="BN831" s="867">
        <v>724408</v>
      </c>
      <c r="BO831" s="75"/>
      <c r="BP831" s="75"/>
      <c r="BQ831" s="75"/>
      <c r="BR831" s="75"/>
      <c r="BS831" s="75"/>
      <c r="BT831" s="75"/>
      <c r="BU831" s="75"/>
      <c r="BV831" s="75"/>
      <c r="BW831" s="75"/>
      <c r="BX831" s="75"/>
      <c r="BY831" s="75"/>
      <c r="BZ831" s="75"/>
      <c r="CA831" s="75"/>
      <c r="CB831" s="75"/>
      <c r="CC831" s="75"/>
      <c r="CD831" s="75"/>
      <c r="CE831" s="75"/>
      <c r="CF831" s="75"/>
      <c r="CG831" s="75"/>
      <c r="CH831" s="75"/>
      <c r="CI831" s="75"/>
      <c r="CJ831" s="75"/>
      <c r="CK831" s="75"/>
      <c r="CL831" s="75"/>
      <c r="CM831" s="75"/>
      <c r="CN831" s="75"/>
      <c r="CO831" s="75"/>
      <c r="CP831" s="75"/>
      <c r="CQ831" s="75"/>
      <c r="CR831" s="75"/>
      <c r="CS831" s="75"/>
    </row>
    <row r="832" spans="1:97" s="8" customFormat="1" ht="12.75" customHeight="1">
      <c r="A832" s="16"/>
      <c r="B832" s="16"/>
      <c r="C832" s="16"/>
      <c r="D832" s="16"/>
      <c r="E832" s="16"/>
      <c r="F832" s="16"/>
      <c r="G832" s="16"/>
      <c r="H832" s="16"/>
      <c r="I832" s="16"/>
      <c r="J832" s="16"/>
      <c r="K832" s="16"/>
      <c r="L832" s="16"/>
      <c r="M832" s="16"/>
      <c r="N832" s="16"/>
      <c r="O832" s="16"/>
      <c r="P832" s="16"/>
      <c r="Q832" s="16"/>
      <c r="R832" s="16"/>
      <c r="S832" s="16"/>
      <c r="T832" s="16"/>
      <c r="U832" s="16"/>
      <c r="V832" s="16"/>
      <c r="W832" s="16"/>
      <c r="X832" s="16"/>
      <c r="Y832" s="16"/>
      <c r="Z832" s="16"/>
      <c r="AA832" s="16"/>
      <c r="AB832" s="16"/>
      <c r="AC832" s="16"/>
      <c r="AD832" s="16"/>
      <c r="AE832" s="16"/>
      <c r="AF832" s="16"/>
      <c r="AG832" s="16"/>
      <c r="AH832" s="16"/>
      <c r="AI832" s="16"/>
      <c r="AJ832" s="16"/>
      <c r="AK832" s="16"/>
      <c r="AL832" s="50"/>
      <c r="AR832" s="30"/>
      <c r="AS832" s="30"/>
      <c r="AT832" s="70"/>
      <c r="AU832" s="70"/>
      <c r="AV832" s="70"/>
      <c r="AW832" s="70"/>
      <c r="AX832" s="70"/>
      <c r="AY832" s="70"/>
      <c r="AZ832" s="70"/>
      <c r="BA832" s="70"/>
      <c r="BB832" s="47" t="s">
        <v>472</v>
      </c>
      <c r="BC832" s="866">
        <v>262291</v>
      </c>
      <c r="BD832" s="866">
        <v>302419</v>
      </c>
      <c r="BE832" s="866">
        <v>364800</v>
      </c>
      <c r="BF832" s="866">
        <v>466944</v>
      </c>
      <c r="BG832" s="866">
        <v>520205</v>
      </c>
      <c r="BH832" s="70"/>
      <c r="BI832" s="47" t="s">
        <v>472</v>
      </c>
      <c r="BJ832" s="866">
        <v>262291</v>
      </c>
      <c r="BK832" s="866">
        <v>302419</v>
      </c>
      <c r="BL832" s="866">
        <v>364800</v>
      </c>
      <c r="BM832" s="866">
        <v>466944</v>
      </c>
      <c r="BN832" s="866">
        <v>520205</v>
      </c>
      <c r="BO832" s="75"/>
      <c r="BP832" s="75"/>
      <c r="BQ832" s="75"/>
      <c r="BR832" s="75"/>
      <c r="BS832" s="75"/>
      <c r="BT832" s="75"/>
      <c r="BU832" s="75"/>
      <c r="BV832" s="75"/>
      <c r="BW832" s="75"/>
      <c r="BX832" s="75"/>
      <c r="BY832" s="75"/>
      <c r="BZ832" s="75"/>
      <c r="CA832" s="75"/>
      <c r="CB832" s="75"/>
      <c r="CC832" s="75"/>
      <c r="CD832" s="75"/>
      <c r="CE832" s="75"/>
      <c r="CF832" s="75"/>
      <c r="CG832" s="75"/>
      <c r="CH832" s="75"/>
      <c r="CI832" s="75"/>
      <c r="CJ832" s="75"/>
      <c r="CK832" s="75"/>
      <c r="CL832" s="75"/>
      <c r="CM832" s="75"/>
      <c r="CN832" s="75"/>
      <c r="CO832" s="75"/>
      <c r="CP832" s="75"/>
      <c r="CQ832" s="75"/>
      <c r="CR832" s="75"/>
      <c r="CS832" s="75"/>
    </row>
    <row r="833" spans="1:97" s="8" customFormat="1" ht="12.75" customHeight="1">
      <c r="A833" s="16"/>
      <c r="B833" s="16"/>
      <c r="C833" s="63" t="s">
        <v>519</v>
      </c>
      <c r="D833" s="16"/>
      <c r="E833" s="16"/>
      <c r="F833" s="16"/>
      <c r="G833" s="16"/>
      <c r="H833" s="16"/>
      <c r="I833" s="16"/>
      <c r="J833" s="90" t="s">
        <v>510</v>
      </c>
      <c r="K833" s="91"/>
      <c r="L833" s="91"/>
      <c r="M833" s="91"/>
      <c r="N833" s="91"/>
      <c r="O833" s="91"/>
      <c r="P833" s="91"/>
      <c r="Q833" s="91"/>
      <c r="R833" s="91"/>
      <c r="S833" s="91"/>
      <c r="T833" s="91"/>
      <c r="U833" s="91"/>
      <c r="V833" s="92"/>
      <c r="W833" s="2012">
        <v>37677</v>
      </c>
      <c r="X833" s="2013"/>
      <c r="Y833" s="2013"/>
      <c r="Z833" s="2013"/>
      <c r="AA833" s="2013"/>
      <c r="AB833" s="2013"/>
      <c r="AC833" s="2014"/>
      <c r="AD833" s="16"/>
      <c r="AE833" s="16"/>
      <c r="AF833" s="16"/>
      <c r="AG833" s="16"/>
      <c r="AH833" s="16"/>
      <c r="AI833" s="16"/>
      <c r="AJ833" s="16"/>
      <c r="AK833" s="16"/>
      <c r="AL833" s="50"/>
      <c r="AR833" s="30"/>
      <c r="AS833" s="30"/>
      <c r="AT833" s="70"/>
      <c r="AU833" s="70"/>
      <c r="AV833" s="70"/>
      <c r="AW833" s="70"/>
      <c r="AX833" s="70"/>
      <c r="AY833" s="70"/>
      <c r="AZ833" s="70"/>
      <c r="BA833" s="70"/>
      <c r="BB833" s="47" t="s">
        <v>80</v>
      </c>
      <c r="BC833" s="867">
        <v>262291</v>
      </c>
      <c r="BD833" s="867">
        <v>302419</v>
      </c>
      <c r="BE833" s="867">
        <v>364800</v>
      </c>
      <c r="BF833" s="867">
        <v>466944</v>
      </c>
      <c r="BG833" s="867">
        <v>520205</v>
      </c>
      <c r="BH833" s="70"/>
      <c r="BI833" s="47" t="s">
        <v>80</v>
      </c>
      <c r="BJ833" s="867">
        <v>262291</v>
      </c>
      <c r="BK833" s="867">
        <v>302419</v>
      </c>
      <c r="BL833" s="867">
        <v>364800</v>
      </c>
      <c r="BM833" s="867">
        <v>466944</v>
      </c>
      <c r="BN833" s="867">
        <v>520205</v>
      </c>
      <c r="BO833" s="75"/>
      <c r="BP833" s="75"/>
      <c r="BQ833" s="75"/>
      <c r="BR833" s="75"/>
      <c r="BS833" s="75"/>
      <c r="BT833" s="75"/>
      <c r="BU833" s="75"/>
      <c r="BV833" s="75"/>
      <c r="BW833" s="75"/>
      <c r="BX833" s="75"/>
      <c r="BY833" s="75"/>
      <c r="BZ833" s="75"/>
      <c r="CA833" s="75"/>
      <c r="CB833" s="75"/>
      <c r="CC833" s="75"/>
      <c r="CD833" s="75"/>
      <c r="CE833" s="75"/>
      <c r="CF833" s="75"/>
      <c r="CG833" s="75"/>
      <c r="CH833" s="75"/>
      <c r="CI833" s="75"/>
      <c r="CJ833" s="75"/>
      <c r="CK833" s="75"/>
      <c r="CL833" s="75"/>
      <c r="CM833" s="75"/>
      <c r="CN833" s="75"/>
      <c r="CO833" s="75"/>
      <c r="CP833" s="75"/>
      <c r="CQ833" s="75"/>
      <c r="CR833" s="75"/>
      <c r="CS833" s="75"/>
    </row>
    <row r="834" spans="1:97" s="8" customFormat="1" ht="12.75" customHeight="1">
      <c r="A834" s="16"/>
      <c r="B834" s="16"/>
      <c r="C834" s="63"/>
      <c r="D834" s="16"/>
      <c r="E834" s="16"/>
      <c r="F834" s="16"/>
      <c r="G834" s="16"/>
      <c r="H834" s="16"/>
      <c r="I834" s="16"/>
      <c r="J834" s="334" t="s">
        <v>2221</v>
      </c>
      <c r="K834" s="91"/>
      <c r="L834" s="91"/>
      <c r="M834" s="91"/>
      <c r="N834" s="91"/>
      <c r="O834" s="91"/>
      <c r="P834" s="91"/>
      <c r="Q834" s="91"/>
      <c r="R834" s="91"/>
      <c r="S834" s="91"/>
      <c r="T834" s="2181">
        <v>1</v>
      </c>
      <c r="U834" s="2182"/>
      <c r="V834" s="2183"/>
      <c r="W834" s="1384"/>
      <c r="X834" s="1385"/>
      <c r="Y834" s="1385"/>
      <c r="Z834" s="1385"/>
      <c r="AA834" s="1385"/>
      <c r="AB834" s="1385"/>
      <c r="AC834" s="1386"/>
      <c r="AD834" s="16"/>
      <c r="AE834" s="16"/>
      <c r="AF834" s="16"/>
      <c r="AG834" s="16"/>
      <c r="AH834" s="16"/>
      <c r="AI834" s="16"/>
      <c r="AJ834" s="16"/>
      <c r="AK834" s="16"/>
      <c r="AL834" s="50"/>
      <c r="AR834" s="30"/>
      <c r="AS834" s="30"/>
      <c r="AT834" s="70"/>
      <c r="AU834" s="70"/>
      <c r="AV834" s="70"/>
      <c r="AW834" s="70"/>
      <c r="AX834" s="70"/>
      <c r="AY834" s="70"/>
      <c r="AZ834" s="70"/>
      <c r="BA834" s="70"/>
      <c r="BB834" s="47" t="s">
        <v>82</v>
      </c>
      <c r="BC834" s="866">
        <v>230655</v>
      </c>
      <c r="BD834" s="866">
        <v>265943</v>
      </c>
      <c r="BE834" s="866">
        <v>320800</v>
      </c>
      <c r="BF834" s="866">
        <v>410624</v>
      </c>
      <c r="BG834" s="866">
        <v>457461</v>
      </c>
      <c r="BH834" s="70"/>
      <c r="BI834" s="47" t="s">
        <v>82</v>
      </c>
      <c r="BJ834" s="866">
        <v>230655</v>
      </c>
      <c r="BK834" s="866">
        <v>265943</v>
      </c>
      <c r="BL834" s="866">
        <v>320800</v>
      </c>
      <c r="BM834" s="866">
        <v>410624</v>
      </c>
      <c r="BN834" s="866">
        <v>457461</v>
      </c>
      <c r="BO834" s="75"/>
      <c r="BP834" s="75"/>
      <c r="BQ834" s="75"/>
      <c r="BR834" s="75"/>
      <c r="BS834" s="75"/>
      <c r="BT834" s="75"/>
      <c r="BU834" s="75"/>
      <c r="BV834" s="75"/>
      <c r="BW834" s="75"/>
      <c r="BX834" s="75"/>
      <c r="BY834" s="75"/>
      <c r="BZ834" s="75"/>
      <c r="CA834" s="75"/>
      <c r="CB834" s="75"/>
      <c r="CC834" s="75"/>
      <c r="CD834" s="75"/>
      <c r="CE834" s="75"/>
      <c r="CF834" s="75"/>
      <c r="CG834" s="75"/>
      <c r="CH834" s="75"/>
      <c r="CI834" s="75"/>
      <c r="CJ834" s="75"/>
      <c r="CK834" s="75"/>
      <c r="CL834" s="75"/>
      <c r="CM834" s="75"/>
      <c r="CN834" s="75"/>
      <c r="CO834" s="75"/>
      <c r="CP834" s="75"/>
      <c r="CQ834" s="75"/>
      <c r="CR834" s="75"/>
      <c r="CS834" s="75"/>
    </row>
    <row r="835" spans="1:97" s="8" customFormat="1" ht="12.75" customHeight="1">
      <c r="A835" s="16"/>
      <c r="B835" s="16"/>
      <c r="C835" s="63" t="s">
        <v>951</v>
      </c>
      <c r="D835" s="16"/>
      <c r="E835" s="16"/>
      <c r="F835" s="16"/>
      <c r="G835" s="16"/>
      <c r="H835" s="16"/>
      <c r="I835" s="16"/>
      <c r="J835" s="90" t="s">
        <v>509</v>
      </c>
      <c r="K835" s="91"/>
      <c r="L835" s="91"/>
      <c r="M835" s="91"/>
      <c r="N835" s="91"/>
      <c r="O835" s="91"/>
      <c r="P835" s="91"/>
      <c r="Q835" s="91"/>
      <c r="R835" s="91"/>
      <c r="S835" s="91"/>
      <c r="T835" s="91"/>
      <c r="U835" s="91"/>
      <c r="V835" s="92"/>
      <c r="W835" s="2012">
        <v>38648</v>
      </c>
      <c r="X835" s="2013"/>
      <c r="Y835" s="2013"/>
      <c r="Z835" s="2013"/>
      <c r="AA835" s="2013"/>
      <c r="AB835" s="2013"/>
      <c r="AC835" s="2014"/>
      <c r="AD835" s="16"/>
      <c r="AE835" s="16"/>
      <c r="AF835" s="16"/>
      <c r="AG835" s="16"/>
      <c r="AH835" s="16"/>
      <c r="AI835" s="16"/>
      <c r="AJ835" s="16"/>
      <c r="AK835" s="16"/>
      <c r="AL835" s="269"/>
      <c r="AR835" s="30"/>
      <c r="AS835" s="30"/>
      <c r="AT835" s="70"/>
      <c r="AU835" s="70"/>
      <c r="AV835" s="70"/>
      <c r="AW835" s="70"/>
      <c r="AX835" s="70"/>
      <c r="AY835" s="70"/>
      <c r="AZ835" s="70"/>
      <c r="BA835" s="70"/>
      <c r="BB835" s="47" t="s">
        <v>83</v>
      </c>
      <c r="BC835" s="867">
        <v>262291</v>
      </c>
      <c r="BD835" s="867">
        <v>302419</v>
      </c>
      <c r="BE835" s="867">
        <v>364800</v>
      </c>
      <c r="BF835" s="867">
        <v>466944</v>
      </c>
      <c r="BG835" s="867">
        <v>520205</v>
      </c>
      <c r="BH835" s="70"/>
      <c r="BI835" s="47" t="s">
        <v>83</v>
      </c>
      <c r="BJ835" s="867">
        <v>262291</v>
      </c>
      <c r="BK835" s="867">
        <v>302419</v>
      </c>
      <c r="BL835" s="867">
        <v>364800</v>
      </c>
      <c r="BM835" s="867">
        <v>466944</v>
      </c>
      <c r="BN835" s="867">
        <v>520205</v>
      </c>
      <c r="BO835" s="75"/>
      <c r="BP835" s="75"/>
      <c r="BQ835" s="75"/>
      <c r="BR835" s="75"/>
      <c r="BS835" s="75"/>
      <c r="BT835" s="75"/>
      <c r="BU835" s="75"/>
      <c r="BV835" s="75"/>
      <c r="BW835" s="75"/>
      <c r="BX835" s="75"/>
      <c r="BY835" s="75"/>
      <c r="BZ835" s="75"/>
      <c r="CA835" s="75"/>
      <c r="CB835" s="75"/>
      <c r="CC835" s="75"/>
      <c r="CD835" s="75"/>
      <c r="CE835" s="75"/>
      <c r="CF835" s="75"/>
      <c r="CG835" s="75"/>
      <c r="CH835" s="75"/>
      <c r="CI835" s="75"/>
      <c r="CJ835" s="75"/>
      <c r="CK835" s="75"/>
      <c r="CL835" s="75"/>
      <c r="CM835" s="75"/>
      <c r="CN835" s="75"/>
      <c r="CO835" s="75"/>
      <c r="CP835" s="75"/>
      <c r="CQ835" s="75"/>
      <c r="CR835" s="75"/>
      <c r="CS835" s="75"/>
    </row>
    <row r="836" spans="1:97" s="8" customFormat="1" ht="12.75" customHeight="1">
      <c r="A836" s="16"/>
      <c r="B836" s="16"/>
      <c r="C836" s="63"/>
      <c r="D836" s="16"/>
      <c r="E836" s="16"/>
      <c r="F836" s="16"/>
      <c r="G836" s="16"/>
      <c r="H836" s="16"/>
      <c r="I836" s="16"/>
      <c r="J836" s="334" t="s">
        <v>2222</v>
      </c>
      <c r="K836" s="91"/>
      <c r="L836" s="91"/>
      <c r="M836" s="91"/>
      <c r="N836" s="91"/>
      <c r="O836" s="91"/>
      <c r="P836" s="91"/>
      <c r="Q836" s="91"/>
      <c r="R836" s="91"/>
      <c r="S836" s="91"/>
      <c r="T836" s="2181">
        <v>1</v>
      </c>
      <c r="U836" s="2182"/>
      <c r="V836" s="2183"/>
      <c r="W836" s="1384"/>
      <c r="X836" s="1385"/>
      <c r="Y836" s="1385"/>
      <c r="Z836" s="1385"/>
      <c r="AA836" s="1385"/>
      <c r="AB836" s="1385"/>
      <c r="AC836" s="1386"/>
      <c r="AD836" s="16"/>
      <c r="AE836" s="16"/>
      <c r="AF836" s="16"/>
      <c r="AG836" s="16"/>
      <c r="AH836" s="16"/>
      <c r="AI836" s="16"/>
      <c r="AJ836" s="16"/>
      <c r="AK836" s="16"/>
      <c r="AL836" s="269"/>
      <c r="AR836" s="30"/>
      <c r="AS836" s="30"/>
      <c r="AT836" s="70"/>
      <c r="AU836" s="70"/>
      <c r="AV836" s="70"/>
      <c r="AW836" s="70"/>
      <c r="AX836" s="70"/>
      <c r="AY836" s="70"/>
      <c r="AZ836" s="70"/>
      <c r="BA836" s="70"/>
      <c r="BB836" s="47" t="s">
        <v>84</v>
      </c>
      <c r="BC836" s="866">
        <v>262291</v>
      </c>
      <c r="BD836" s="866">
        <v>302419</v>
      </c>
      <c r="BE836" s="866">
        <v>364800</v>
      </c>
      <c r="BF836" s="866">
        <v>466944</v>
      </c>
      <c r="BG836" s="866">
        <v>520205</v>
      </c>
      <c r="BH836" s="70"/>
      <c r="BI836" s="47" t="s">
        <v>84</v>
      </c>
      <c r="BJ836" s="866">
        <v>262291</v>
      </c>
      <c r="BK836" s="866">
        <v>302419</v>
      </c>
      <c r="BL836" s="866">
        <v>364800</v>
      </c>
      <c r="BM836" s="866">
        <v>466944</v>
      </c>
      <c r="BN836" s="866">
        <v>520205</v>
      </c>
      <c r="BO836" s="75"/>
      <c r="BP836" s="75"/>
      <c r="BQ836" s="75"/>
      <c r="BR836" s="75"/>
      <c r="BS836" s="75"/>
      <c r="BT836" s="75"/>
      <c r="BU836" s="75"/>
      <c r="BV836" s="75"/>
      <c r="BW836" s="75"/>
      <c r="BX836" s="75"/>
      <c r="BY836" s="75"/>
      <c r="BZ836" s="75"/>
      <c r="CA836" s="75"/>
      <c r="CB836" s="75"/>
      <c r="CC836" s="75"/>
      <c r="CD836" s="75"/>
      <c r="CE836" s="75"/>
      <c r="CF836" s="75"/>
      <c r="CG836" s="75"/>
      <c r="CH836" s="75"/>
      <c r="CI836" s="75"/>
      <c r="CJ836" s="75"/>
      <c r="CK836" s="75"/>
      <c r="CL836" s="75"/>
      <c r="CM836" s="75"/>
      <c r="CN836" s="75"/>
      <c r="CO836" s="75"/>
      <c r="CP836" s="75"/>
      <c r="CQ836" s="75"/>
      <c r="CR836" s="75"/>
      <c r="CS836" s="75"/>
    </row>
    <row r="837" spans="1:97" s="8" customFormat="1" ht="12.75" customHeight="1">
      <c r="A837" s="16"/>
      <c r="B837" s="16"/>
      <c r="C837" s="16"/>
      <c r="D837" s="16"/>
      <c r="E837" s="16"/>
      <c r="F837" s="16"/>
      <c r="G837" s="16"/>
      <c r="H837" s="16"/>
      <c r="I837" s="16"/>
      <c r="J837" s="90" t="s">
        <v>311</v>
      </c>
      <c r="K837" s="91"/>
      <c r="L837" s="91"/>
      <c r="M837" s="1808" t="s">
        <v>2440</v>
      </c>
      <c r="N837" s="1991"/>
      <c r="O837" s="1991"/>
      <c r="P837" s="1991"/>
      <c r="Q837" s="1991"/>
      <c r="R837" s="1991"/>
      <c r="S837" s="1991"/>
      <c r="T837" s="1991"/>
      <c r="U837" s="1991"/>
      <c r="V837" s="1992"/>
      <c r="W837" s="2012">
        <v>42297</v>
      </c>
      <c r="X837" s="2013"/>
      <c r="Y837" s="2013"/>
      <c r="Z837" s="2013"/>
      <c r="AA837" s="2013"/>
      <c r="AB837" s="2013"/>
      <c r="AC837" s="2014"/>
      <c r="AD837" s="16"/>
      <c r="AE837" s="16"/>
      <c r="AF837" s="16"/>
      <c r="AG837" s="16"/>
      <c r="AH837" s="16"/>
      <c r="AI837" s="16"/>
      <c r="AJ837" s="16"/>
      <c r="AK837" s="16"/>
      <c r="AL837" s="269"/>
      <c r="AR837" s="30"/>
      <c r="AS837" s="30"/>
      <c r="AT837" s="70"/>
      <c r="AU837" s="70"/>
      <c r="AV837" s="70"/>
      <c r="AW837" s="70"/>
      <c r="AX837" s="70"/>
      <c r="AY837" s="70"/>
      <c r="AZ837" s="70"/>
      <c r="BA837" s="70"/>
      <c r="BB837" s="47" t="s">
        <v>525</v>
      </c>
      <c r="BC837" s="867">
        <v>365252</v>
      </c>
      <c r="BD837" s="867">
        <v>421132</v>
      </c>
      <c r="BE837" s="867">
        <v>508000</v>
      </c>
      <c r="BF837" s="867">
        <v>650240</v>
      </c>
      <c r="BG837" s="867">
        <v>724408</v>
      </c>
      <c r="BH837" s="70"/>
      <c r="BI837" s="47" t="s">
        <v>525</v>
      </c>
      <c r="BJ837" s="867">
        <v>365252</v>
      </c>
      <c r="BK837" s="867">
        <v>421132</v>
      </c>
      <c r="BL837" s="867">
        <v>508000</v>
      </c>
      <c r="BM837" s="867">
        <v>650240</v>
      </c>
      <c r="BN837" s="867">
        <v>724408</v>
      </c>
      <c r="BO837" s="75"/>
      <c r="BP837" s="75"/>
      <c r="BQ837" s="75"/>
      <c r="BR837" s="75"/>
      <c r="BS837" s="75"/>
      <c r="BT837" s="75"/>
      <c r="BU837" s="75"/>
      <c r="BV837" s="75"/>
      <c r="BW837" s="75"/>
      <c r="BX837" s="75"/>
      <c r="BY837" s="75"/>
      <c r="BZ837" s="75"/>
      <c r="CA837" s="75"/>
      <c r="CB837" s="75"/>
      <c r="CC837" s="75"/>
      <c r="CD837" s="75"/>
      <c r="CE837" s="75"/>
      <c r="CF837" s="75"/>
      <c r="CG837" s="75"/>
      <c r="CH837" s="75"/>
      <c r="CI837" s="75"/>
      <c r="CJ837" s="75"/>
      <c r="CK837" s="75"/>
      <c r="CL837" s="75"/>
      <c r="CM837" s="75"/>
      <c r="CN837" s="75"/>
      <c r="CO837" s="75"/>
      <c r="CP837" s="75"/>
      <c r="CQ837" s="75"/>
      <c r="CR837" s="75"/>
      <c r="CS837" s="75"/>
    </row>
    <row r="838" spans="1:97" s="8" customFormat="1" ht="12.75" customHeight="1">
      <c r="A838" s="16"/>
      <c r="B838" s="16"/>
      <c r="C838" s="16"/>
      <c r="D838" s="16"/>
      <c r="E838" s="16"/>
      <c r="F838" s="16"/>
      <c r="G838" s="16"/>
      <c r="H838" s="16"/>
      <c r="I838" s="16"/>
      <c r="J838" s="90"/>
      <c r="K838" s="91"/>
      <c r="L838" s="91"/>
      <c r="M838" s="91"/>
      <c r="N838" s="91"/>
      <c r="O838" s="91"/>
      <c r="P838" s="91"/>
      <c r="Q838" s="91"/>
      <c r="R838" s="91"/>
      <c r="S838" s="91"/>
      <c r="T838" s="91"/>
      <c r="U838" s="91"/>
      <c r="V838" s="100" t="s">
        <v>14</v>
      </c>
      <c r="W838" s="2169">
        <f>SUM(W833:AC837)</f>
        <v>118622</v>
      </c>
      <c r="X838" s="2170"/>
      <c r="Y838" s="2170"/>
      <c r="Z838" s="2170"/>
      <c r="AA838" s="2170"/>
      <c r="AB838" s="2170"/>
      <c r="AC838" s="2171"/>
      <c r="AD838" s="16"/>
      <c r="AE838" s="16"/>
      <c r="AF838" s="16"/>
      <c r="AG838" s="16"/>
      <c r="AH838" s="16"/>
      <c r="AI838" s="16"/>
      <c r="AJ838" s="16"/>
      <c r="AK838" s="16"/>
      <c r="AL838" s="269"/>
      <c r="AM838" s="66"/>
      <c r="AN838" s="66"/>
      <c r="AO838" s="30"/>
      <c r="AP838" s="30"/>
      <c r="AQ838" s="30"/>
      <c r="AR838" s="30"/>
      <c r="AS838" s="30"/>
      <c r="AT838" s="70"/>
      <c r="AU838" s="70"/>
      <c r="AV838" s="70"/>
      <c r="AW838" s="70"/>
      <c r="AX838" s="70"/>
      <c r="AY838" s="70"/>
      <c r="AZ838" s="70"/>
      <c r="BA838" s="70"/>
      <c r="BB838" s="47" t="s">
        <v>526</v>
      </c>
      <c r="BC838" s="866">
        <v>262291</v>
      </c>
      <c r="BD838" s="866">
        <v>302419</v>
      </c>
      <c r="BE838" s="866">
        <v>364800</v>
      </c>
      <c r="BF838" s="866">
        <v>466944</v>
      </c>
      <c r="BG838" s="866">
        <v>520205</v>
      </c>
      <c r="BH838" s="70"/>
      <c r="BI838" s="47" t="s">
        <v>526</v>
      </c>
      <c r="BJ838" s="866">
        <v>262291</v>
      </c>
      <c r="BK838" s="866">
        <v>302419</v>
      </c>
      <c r="BL838" s="866">
        <v>364800</v>
      </c>
      <c r="BM838" s="866">
        <v>466944</v>
      </c>
      <c r="BN838" s="866">
        <v>520205</v>
      </c>
      <c r="BO838" s="75"/>
      <c r="BP838" s="75"/>
      <c r="BQ838" s="75"/>
      <c r="BR838" s="75"/>
      <c r="BS838" s="75"/>
      <c r="BT838" s="75"/>
      <c r="BU838" s="75"/>
      <c r="BV838" s="75"/>
      <c r="BW838" s="75"/>
      <c r="BX838" s="75"/>
      <c r="BY838" s="75"/>
      <c r="BZ838" s="75"/>
      <c r="CA838" s="75"/>
      <c r="CB838" s="75"/>
      <c r="CC838" s="75"/>
      <c r="CD838" s="75"/>
      <c r="CE838" s="75"/>
      <c r="CF838" s="75"/>
      <c r="CG838" s="75"/>
      <c r="CH838" s="75"/>
      <c r="CI838" s="75"/>
      <c r="CJ838" s="75"/>
      <c r="CK838" s="75"/>
      <c r="CL838" s="75"/>
      <c r="CM838" s="75"/>
      <c r="CN838" s="75"/>
      <c r="CO838" s="75"/>
      <c r="CP838" s="75"/>
      <c r="CQ838" s="75"/>
      <c r="CR838" s="75"/>
      <c r="CS838" s="75"/>
    </row>
    <row r="839" spans="1:97" s="8" customFormat="1" ht="12.75" customHeight="1">
      <c r="A839" s="16"/>
      <c r="B839" s="16"/>
      <c r="C839" s="16"/>
      <c r="D839" s="16"/>
      <c r="E839" s="16"/>
      <c r="F839" s="16"/>
      <c r="G839" s="16"/>
      <c r="H839" s="16"/>
      <c r="I839" s="16"/>
      <c r="J839" s="90"/>
      <c r="K839" s="91"/>
      <c r="L839" s="91"/>
      <c r="M839" s="91"/>
      <c r="N839" s="91"/>
      <c r="O839" s="91"/>
      <c r="P839" s="91"/>
      <c r="Q839" s="91"/>
      <c r="R839" s="91"/>
      <c r="S839" s="91"/>
      <c r="T839" s="91"/>
      <c r="U839" s="91"/>
      <c r="V839" s="100" t="s">
        <v>15</v>
      </c>
      <c r="W839" s="2012">
        <v>20000</v>
      </c>
      <c r="X839" s="2013"/>
      <c r="Y839" s="2013"/>
      <c r="Z839" s="2013"/>
      <c r="AA839" s="2013"/>
      <c r="AB839" s="2013"/>
      <c r="AC839" s="2014"/>
      <c r="AD839" s="16"/>
      <c r="AE839" s="16"/>
      <c r="AF839" s="16"/>
      <c r="AG839" s="16"/>
      <c r="AH839" s="16"/>
      <c r="AI839" s="16"/>
      <c r="AJ839" s="16"/>
      <c r="AK839" s="16"/>
      <c r="AL839" s="269"/>
      <c r="AM839" s="66"/>
      <c r="AN839" s="66"/>
      <c r="AO839" s="30"/>
      <c r="AP839" s="30"/>
      <c r="AQ839" s="30"/>
      <c r="AR839" s="30"/>
      <c r="AS839" s="30"/>
      <c r="AT839" s="70"/>
      <c r="AU839" s="70"/>
      <c r="AV839" s="70"/>
      <c r="AW839" s="70"/>
      <c r="AX839" s="70"/>
      <c r="AY839" s="70"/>
      <c r="AZ839" s="70"/>
      <c r="BA839" s="70"/>
      <c r="BB839" s="47" t="s">
        <v>527</v>
      </c>
      <c r="BC839" s="867">
        <v>278397</v>
      </c>
      <c r="BD839" s="867">
        <v>320989</v>
      </c>
      <c r="BE839" s="867">
        <v>387200</v>
      </c>
      <c r="BF839" s="867">
        <v>495616</v>
      </c>
      <c r="BG839" s="867">
        <v>552147</v>
      </c>
      <c r="BH839" s="70"/>
      <c r="BI839" s="47" t="s">
        <v>527</v>
      </c>
      <c r="BJ839" s="867">
        <v>278397</v>
      </c>
      <c r="BK839" s="867">
        <v>320989</v>
      </c>
      <c r="BL839" s="867">
        <v>387200</v>
      </c>
      <c r="BM839" s="867">
        <v>495616</v>
      </c>
      <c r="BN839" s="867">
        <v>552147</v>
      </c>
      <c r="BO839" s="75"/>
      <c r="BP839" s="75"/>
      <c r="BQ839" s="75"/>
      <c r="BR839" s="75"/>
      <c r="BS839" s="75"/>
      <c r="BT839" s="75"/>
      <c r="BU839" s="75"/>
      <c r="BV839" s="75"/>
      <c r="BW839" s="75"/>
      <c r="BX839" s="75"/>
      <c r="BY839" s="75"/>
      <c r="BZ839" s="75"/>
      <c r="CA839" s="75"/>
      <c r="CB839" s="75"/>
      <c r="CC839" s="75"/>
      <c r="CD839" s="75"/>
      <c r="CE839" s="75"/>
      <c r="CF839" s="75"/>
      <c r="CG839" s="75"/>
      <c r="CH839" s="75"/>
      <c r="CI839" s="75"/>
      <c r="CJ839" s="75"/>
      <c r="CK839" s="75"/>
      <c r="CL839" s="75"/>
      <c r="CM839" s="75"/>
      <c r="CN839" s="75"/>
      <c r="CO839" s="75"/>
      <c r="CP839" s="75"/>
      <c r="CQ839" s="75"/>
      <c r="CR839" s="75"/>
      <c r="CS839" s="75"/>
    </row>
    <row r="840" spans="1:97" s="8" customFormat="1" ht="12.75" customHeight="1">
      <c r="A840" s="16"/>
      <c r="B840" s="16"/>
      <c r="C840" s="16"/>
      <c r="D840" s="16"/>
      <c r="E840" s="16"/>
      <c r="F840" s="16"/>
      <c r="G840" s="16"/>
      <c r="H840" s="16"/>
      <c r="I840" s="16"/>
      <c r="J840" s="16"/>
      <c r="K840" s="16"/>
      <c r="L840" s="16"/>
      <c r="M840" s="16"/>
      <c r="N840" s="16"/>
      <c r="O840" s="16"/>
      <c r="P840" s="16"/>
      <c r="Q840" s="16"/>
      <c r="R840" s="16"/>
      <c r="S840" s="16"/>
      <c r="T840" s="16"/>
      <c r="U840" s="16"/>
      <c r="V840" s="16"/>
      <c r="W840" s="16"/>
      <c r="X840" s="16"/>
      <c r="Y840" s="16"/>
      <c r="Z840" s="16"/>
      <c r="AA840" s="16"/>
      <c r="AB840" s="16"/>
      <c r="AC840" s="16"/>
      <c r="AD840" s="16"/>
      <c r="AE840" s="16"/>
      <c r="AF840" s="16"/>
      <c r="AG840" s="16"/>
      <c r="AH840" s="16"/>
      <c r="AI840" s="16"/>
      <c r="AJ840" s="16"/>
      <c r="AK840" s="16"/>
      <c r="AL840" s="16"/>
      <c r="AM840" s="66"/>
      <c r="AN840" s="66"/>
      <c r="AO840" s="30"/>
      <c r="AP840" s="30"/>
      <c r="AQ840" s="30"/>
      <c r="AR840" s="30"/>
      <c r="AS840" s="30"/>
      <c r="AT840" s="70"/>
      <c r="AU840" s="70"/>
      <c r="AV840" s="70"/>
      <c r="AW840" s="70"/>
      <c r="AX840" s="70"/>
      <c r="AY840" s="70"/>
      <c r="AZ840" s="70"/>
      <c r="BA840" s="70"/>
      <c r="BB840" s="47" t="s">
        <v>529</v>
      </c>
      <c r="BC840" s="866">
        <v>238133</v>
      </c>
      <c r="BD840" s="866">
        <v>274565</v>
      </c>
      <c r="BE840" s="866">
        <v>331200</v>
      </c>
      <c r="BF840" s="866">
        <v>423936</v>
      </c>
      <c r="BG840" s="866">
        <v>472291</v>
      </c>
      <c r="BH840" s="70"/>
      <c r="BI840" s="47" t="s">
        <v>529</v>
      </c>
      <c r="BJ840" s="866">
        <v>238133</v>
      </c>
      <c r="BK840" s="866">
        <v>274565</v>
      </c>
      <c r="BL840" s="866">
        <v>331200</v>
      </c>
      <c r="BM840" s="866">
        <v>423936</v>
      </c>
      <c r="BN840" s="866">
        <v>472291</v>
      </c>
      <c r="BO840" s="75"/>
      <c r="BP840" s="75"/>
      <c r="BQ840" s="75"/>
      <c r="BR840" s="75"/>
      <c r="BS840" s="75"/>
      <c r="BT840" s="75"/>
      <c r="BU840" s="75"/>
      <c r="BV840" s="75"/>
      <c r="BW840" s="75"/>
      <c r="BX840" s="75"/>
      <c r="BY840" s="75"/>
      <c r="BZ840" s="75"/>
      <c r="CA840" s="75"/>
      <c r="CB840" s="75"/>
      <c r="CC840" s="75"/>
      <c r="CD840" s="75"/>
      <c r="CE840" s="75"/>
      <c r="CF840" s="75"/>
      <c r="CG840" s="75"/>
      <c r="CH840" s="75"/>
      <c r="CI840" s="75"/>
      <c r="CJ840" s="75"/>
      <c r="CK840" s="75"/>
      <c r="CL840" s="75"/>
      <c r="CM840" s="75"/>
      <c r="CN840" s="75"/>
      <c r="CO840" s="75"/>
      <c r="CP840" s="75"/>
      <c r="CQ840" s="75"/>
      <c r="CR840" s="75"/>
      <c r="CS840" s="75"/>
    </row>
    <row r="841" spans="1:97" s="8" customFormat="1" ht="12.75" customHeight="1">
      <c r="A841" s="16"/>
      <c r="B841" s="16"/>
      <c r="C841" s="63" t="s">
        <v>60</v>
      </c>
      <c r="D841" s="16"/>
      <c r="E841" s="16"/>
      <c r="F841" s="16"/>
      <c r="G841" s="16"/>
      <c r="H841" s="16"/>
      <c r="I841" s="16"/>
      <c r="J841" s="90" t="s">
        <v>792</v>
      </c>
      <c r="K841" s="91"/>
      <c r="L841" s="91"/>
      <c r="M841" s="91"/>
      <c r="N841" s="91"/>
      <c r="O841" s="91"/>
      <c r="P841" s="91"/>
      <c r="Q841" s="91"/>
      <c r="R841" s="91"/>
      <c r="S841" s="91"/>
      <c r="T841" s="91"/>
      <c r="U841" s="91"/>
      <c r="V841" s="92"/>
      <c r="W841" s="1774">
        <v>10000</v>
      </c>
      <c r="X841" s="1774"/>
      <c r="Y841" s="1774"/>
      <c r="Z841" s="1774"/>
      <c r="AA841" s="1774"/>
      <c r="AB841" s="1774"/>
      <c r="AC841" s="1774"/>
      <c r="AD841" s="16"/>
      <c r="AE841" s="16"/>
      <c r="AF841" s="16"/>
      <c r="AG841" s="16"/>
      <c r="AH841" s="16"/>
      <c r="AI841" s="16"/>
      <c r="AJ841" s="16"/>
      <c r="AK841" s="16"/>
      <c r="AL841" s="16"/>
      <c r="AM841" s="66"/>
      <c r="AN841" s="66"/>
      <c r="AO841" s="30"/>
      <c r="AP841" s="30"/>
      <c r="AQ841" s="30"/>
      <c r="AR841" s="30"/>
      <c r="AS841" s="30"/>
      <c r="AT841" s="70"/>
      <c r="AU841" s="70"/>
      <c r="AV841" s="70"/>
      <c r="AW841" s="70"/>
      <c r="AX841" s="70"/>
      <c r="AY841" s="70"/>
      <c r="AZ841" s="70"/>
      <c r="BA841" s="70"/>
      <c r="BB841" s="47" t="s">
        <v>532</v>
      </c>
      <c r="BC841" s="867">
        <v>262291</v>
      </c>
      <c r="BD841" s="867">
        <v>302419</v>
      </c>
      <c r="BE841" s="867">
        <v>364800</v>
      </c>
      <c r="BF841" s="867">
        <v>466944</v>
      </c>
      <c r="BG841" s="867">
        <v>520205</v>
      </c>
      <c r="BH841" s="70"/>
      <c r="BI841" s="47" t="s">
        <v>532</v>
      </c>
      <c r="BJ841" s="867">
        <v>262291</v>
      </c>
      <c r="BK841" s="867">
        <v>302419</v>
      </c>
      <c r="BL841" s="867">
        <v>364800</v>
      </c>
      <c r="BM841" s="867">
        <v>466944</v>
      </c>
      <c r="BN841" s="867">
        <v>520205</v>
      </c>
      <c r="BO841" s="75"/>
      <c r="BP841" s="75"/>
      <c r="BQ841" s="75"/>
      <c r="BR841" s="75"/>
      <c r="BS841" s="75"/>
      <c r="BT841" s="75"/>
      <c r="BU841" s="75"/>
      <c r="BV841" s="75"/>
      <c r="BW841" s="75"/>
      <c r="BX841" s="75"/>
      <c r="BY841" s="75"/>
      <c r="BZ841" s="75"/>
      <c r="CA841" s="75"/>
      <c r="CB841" s="75"/>
      <c r="CC841" s="75"/>
      <c r="CD841" s="75"/>
      <c r="CE841" s="75"/>
      <c r="CF841" s="75"/>
      <c r="CG841" s="75"/>
      <c r="CH841" s="75"/>
      <c r="CI841" s="75"/>
      <c r="CJ841" s="75"/>
      <c r="CK841" s="75"/>
      <c r="CL841" s="75"/>
      <c r="CM841" s="75"/>
      <c r="CN841" s="75"/>
      <c r="CO841" s="75"/>
      <c r="CP841" s="75"/>
      <c r="CQ841" s="75"/>
      <c r="CR841" s="75"/>
      <c r="CS841" s="75"/>
    </row>
    <row r="842" spans="1:97" s="8" customFormat="1" ht="12.75" customHeight="1">
      <c r="A842" s="16"/>
      <c r="B842" s="16"/>
      <c r="C842" s="16"/>
      <c r="D842" s="16"/>
      <c r="E842" s="16"/>
      <c r="F842" s="16"/>
      <c r="G842" s="16"/>
      <c r="H842" s="16"/>
      <c r="I842" s="16"/>
      <c r="J842" s="90" t="s">
        <v>688</v>
      </c>
      <c r="K842" s="91"/>
      <c r="L842" s="91"/>
      <c r="M842" s="91"/>
      <c r="N842" s="91"/>
      <c r="O842" s="91"/>
      <c r="P842" s="91"/>
      <c r="Q842" s="91"/>
      <c r="R842" s="91"/>
      <c r="S842" s="91"/>
      <c r="T842" s="91"/>
      <c r="U842" s="91"/>
      <c r="V842" s="92"/>
      <c r="W842" s="1774">
        <v>20000</v>
      </c>
      <c r="X842" s="1774"/>
      <c r="Y842" s="1774"/>
      <c r="Z842" s="1774"/>
      <c r="AA842" s="1774"/>
      <c r="AB842" s="1774"/>
      <c r="AC842" s="1774"/>
      <c r="AD842" s="16"/>
      <c r="AE842" s="16"/>
      <c r="AF842" s="16"/>
      <c r="AG842" s="16"/>
      <c r="AH842" s="16"/>
      <c r="AI842" s="16"/>
      <c r="AJ842" s="16"/>
      <c r="AK842" s="16"/>
      <c r="AL842" s="16"/>
      <c r="AM842" s="66"/>
      <c r="AN842" s="66"/>
      <c r="AO842" s="30"/>
      <c r="AP842" s="30"/>
      <c r="AQ842" s="30"/>
      <c r="AR842" s="30"/>
      <c r="AS842" s="30"/>
      <c r="AT842" s="70"/>
      <c r="AU842" s="70"/>
      <c r="AV842" s="70"/>
      <c r="AW842" s="70"/>
      <c r="AX842" s="70"/>
      <c r="AY842" s="70"/>
      <c r="AZ842" s="70"/>
      <c r="BA842" s="70"/>
      <c r="BB842" s="47" t="s">
        <v>533</v>
      </c>
      <c r="BC842" s="866">
        <v>262291</v>
      </c>
      <c r="BD842" s="866">
        <v>302419</v>
      </c>
      <c r="BE842" s="866">
        <v>364800</v>
      </c>
      <c r="BF842" s="866">
        <v>466944</v>
      </c>
      <c r="BG842" s="866">
        <v>520205</v>
      </c>
      <c r="BH842" s="70"/>
      <c r="BI842" s="47" t="s">
        <v>533</v>
      </c>
      <c r="BJ842" s="866">
        <v>262291</v>
      </c>
      <c r="BK842" s="866">
        <v>302419</v>
      </c>
      <c r="BL842" s="866">
        <v>364800</v>
      </c>
      <c r="BM842" s="866">
        <v>466944</v>
      </c>
      <c r="BN842" s="866">
        <v>520205</v>
      </c>
      <c r="BO842" s="75"/>
      <c r="BP842" s="75"/>
      <c r="BQ842" s="75"/>
      <c r="BR842" s="75"/>
      <c r="BS842" s="75"/>
      <c r="BT842" s="75"/>
      <c r="BU842" s="75"/>
      <c r="BV842" s="75"/>
      <c r="BW842" s="75"/>
      <c r="BX842" s="75"/>
      <c r="BY842" s="75"/>
      <c r="BZ842" s="75"/>
      <c r="CA842" s="75"/>
      <c r="CB842" s="75"/>
      <c r="CC842" s="75"/>
      <c r="CD842" s="75"/>
      <c r="CE842" s="75"/>
      <c r="CF842" s="75"/>
      <c r="CG842" s="75"/>
      <c r="CH842" s="75"/>
      <c r="CI842" s="75"/>
      <c r="CJ842" s="75"/>
      <c r="CK842" s="75"/>
      <c r="CL842" s="75"/>
      <c r="CM842" s="75"/>
      <c r="CN842" s="75"/>
      <c r="CO842" s="75"/>
      <c r="CP842" s="75"/>
      <c r="CQ842" s="75"/>
      <c r="CR842" s="75"/>
      <c r="CS842" s="75"/>
    </row>
    <row r="843" spans="1:97" s="8" customFormat="1" ht="12.75" customHeight="1">
      <c r="A843" s="16"/>
      <c r="B843" s="16"/>
      <c r="C843" s="16"/>
      <c r="D843" s="16"/>
      <c r="E843" s="16"/>
      <c r="F843" s="16"/>
      <c r="G843" s="16"/>
      <c r="H843" s="16"/>
      <c r="I843" s="16"/>
      <c r="J843" s="90" t="s">
        <v>687</v>
      </c>
      <c r="K843" s="91"/>
      <c r="L843" s="91"/>
      <c r="M843" s="91"/>
      <c r="N843" s="91"/>
      <c r="O843" s="91"/>
      <c r="P843" s="91"/>
      <c r="Q843" s="91"/>
      <c r="R843" s="91"/>
      <c r="S843" s="91"/>
      <c r="T843" s="91"/>
      <c r="U843" s="91"/>
      <c r="V843" s="92"/>
      <c r="W843" s="1774">
        <v>15000</v>
      </c>
      <c r="X843" s="1774"/>
      <c r="Y843" s="1774"/>
      <c r="Z843" s="1774"/>
      <c r="AA843" s="1774"/>
      <c r="AB843" s="1774"/>
      <c r="AC843" s="1774"/>
      <c r="AD843" s="16"/>
      <c r="AE843" s="16"/>
      <c r="AF843" s="16"/>
      <c r="AG843" s="16"/>
      <c r="AH843" s="16"/>
      <c r="AI843" s="16"/>
      <c r="AJ843" s="16"/>
      <c r="AK843" s="16"/>
      <c r="AL843" s="16"/>
      <c r="AM843" s="66"/>
      <c r="AN843" s="66"/>
      <c r="AO843" s="30"/>
      <c r="AP843" s="30"/>
      <c r="AQ843" s="30"/>
      <c r="AR843" s="30"/>
      <c r="AS843" s="30"/>
      <c r="AT843" s="70"/>
      <c r="AU843" s="70"/>
      <c r="AV843" s="70"/>
      <c r="AW843" s="70"/>
      <c r="AX843" s="70"/>
      <c r="AY843" s="70"/>
      <c r="AZ843" s="70"/>
      <c r="BA843" s="70"/>
      <c r="BB843" s="47" t="s">
        <v>535</v>
      </c>
      <c r="BC843" s="867">
        <v>228930</v>
      </c>
      <c r="BD843" s="867">
        <v>263954</v>
      </c>
      <c r="BE843" s="867">
        <v>318400</v>
      </c>
      <c r="BF843" s="867">
        <v>407552</v>
      </c>
      <c r="BG843" s="867">
        <v>454038</v>
      </c>
      <c r="BH843" s="70"/>
      <c r="BI843" s="47" t="s">
        <v>535</v>
      </c>
      <c r="BJ843" s="867">
        <v>228930</v>
      </c>
      <c r="BK843" s="867">
        <v>263954</v>
      </c>
      <c r="BL843" s="867">
        <v>318400</v>
      </c>
      <c r="BM843" s="867">
        <v>407552</v>
      </c>
      <c r="BN843" s="867">
        <v>454038</v>
      </c>
      <c r="BO843" s="75"/>
      <c r="BP843" s="75"/>
      <c r="BQ843" s="75"/>
      <c r="BR843" s="75"/>
      <c r="BS843" s="75"/>
      <c r="BT843" s="75"/>
      <c r="BU843" s="75"/>
      <c r="BV843" s="75"/>
      <c r="BW843" s="75"/>
      <c r="BX843" s="75"/>
      <c r="BY843" s="75"/>
      <c r="BZ843" s="75"/>
      <c r="CA843" s="75"/>
      <c r="CB843" s="75"/>
      <c r="CC843" s="75"/>
      <c r="CD843" s="75"/>
      <c r="CE843" s="75"/>
      <c r="CF843" s="75"/>
      <c r="CG843" s="75"/>
      <c r="CH843" s="75"/>
      <c r="CI843" s="75"/>
      <c r="CJ843" s="75"/>
      <c r="CK843" s="75"/>
      <c r="CL843" s="75"/>
      <c r="CM843" s="75"/>
      <c r="CN843" s="75"/>
      <c r="CO843" s="75"/>
      <c r="CP843" s="75"/>
      <c r="CQ843" s="75"/>
      <c r="CR843" s="75"/>
      <c r="CS843" s="75"/>
    </row>
    <row r="844" spans="1:97" s="8" customFormat="1" ht="12.75" customHeight="1">
      <c r="A844" s="16"/>
      <c r="B844" s="16"/>
      <c r="C844" s="16"/>
      <c r="D844" s="16"/>
      <c r="E844" s="16"/>
      <c r="F844" s="16"/>
      <c r="G844" s="16"/>
      <c r="H844" s="16"/>
      <c r="I844" s="16"/>
      <c r="J844" s="90" t="s">
        <v>686</v>
      </c>
      <c r="K844" s="91"/>
      <c r="L844" s="91"/>
      <c r="M844" s="91"/>
      <c r="N844" s="91"/>
      <c r="O844" s="91"/>
      <c r="P844" s="91"/>
      <c r="Q844" s="91"/>
      <c r="R844" s="91"/>
      <c r="S844" s="91"/>
      <c r="T844" s="91"/>
      <c r="U844" s="91"/>
      <c r="V844" s="92"/>
      <c r="W844" s="1774">
        <v>5000</v>
      </c>
      <c r="X844" s="1774"/>
      <c r="Y844" s="1774"/>
      <c r="Z844" s="1774"/>
      <c r="AA844" s="1774"/>
      <c r="AB844" s="1774"/>
      <c r="AC844" s="1774"/>
      <c r="AD844" s="16"/>
      <c r="AE844" s="16"/>
      <c r="AF844" s="16"/>
      <c r="AG844" s="16"/>
      <c r="AH844" s="16"/>
      <c r="AI844" s="16"/>
      <c r="AJ844" s="16"/>
      <c r="AK844" s="16"/>
      <c r="AL844" s="16"/>
      <c r="AM844" s="66"/>
      <c r="AN844" s="66"/>
      <c r="AO844" s="30"/>
      <c r="AP844" s="30"/>
      <c r="AQ844" s="30"/>
      <c r="AR844" s="30"/>
      <c r="AS844" s="30"/>
      <c r="AT844" s="70"/>
      <c r="AU844" s="70"/>
      <c r="AV844" s="70"/>
      <c r="AW844" s="70"/>
      <c r="AX844" s="70"/>
      <c r="AY844" s="70"/>
      <c r="AZ844" s="70"/>
      <c r="BA844" s="70"/>
      <c r="BB844" s="47" t="s">
        <v>536</v>
      </c>
      <c r="BC844" s="866">
        <v>262291</v>
      </c>
      <c r="BD844" s="866">
        <v>302419</v>
      </c>
      <c r="BE844" s="866">
        <v>364800</v>
      </c>
      <c r="BF844" s="866">
        <v>466944</v>
      </c>
      <c r="BG844" s="866">
        <v>520205</v>
      </c>
      <c r="BH844" s="70"/>
      <c r="BI844" s="47" t="s">
        <v>536</v>
      </c>
      <c r="BJ844" s="866">
        <v>262291</v>
      </c>
      <c r="BK844" s="866">
        <v>302419</v>
      </c>
      <c r="BL844" s="866">
        <v>364800</v>
      </c>
      <c r="BM844" s="866">
        <v>466944</v>
      </c>
      <c r="BN844" s="866">
        <v>520205</v>
      </c>
      <c r="BO844" s="75"/>
      <c r="BP844" s="75"/>
      <c r="BQ844" s="75"/>
      <c r="BR844" s="75"/>
      <c r="BS844" s="75"/>
      <c r="BT844" s="75"/>
      <c r="BU844" s="75"/>
      <c r="BV844" s="75"/>
      <c r="BW844" s="75"/>
      <c r="BX844" s="75"/>
      <c r="BY844" s="75"/>
      <c r="BZ844" s="75"/>
      <c r="CA844" s="75"/>
      <c r="CB844" s="75"/>
      <c r="CC844" s="75"/>
      <c r="CD844" s="75"/>
      <c r="CE844" s="75"/>
      <c r="CF844" s="75"/>
      <c r="CG844" s="75"/>
      <c r="CH844" s="75"/>
      <c r="CI844" s="75"/>
      <c r="CJ844" s="75"/>
      <c r="CK844" s="75"/>
      <c r="CL844" s="75"/>
      <c r="CM844" s="75"/>
      <c r="CN844" s="75"/>
      <c r="CO844" s="75"/>
      <c r="CP844" s="75"/>
      <c r="CQ844" s="75"/>
      <c r="CR844" s="75"/>
      <c r="CS844" s="75"/>
    </row>
    <row r="845" spans="1:97" s="8" customFormat="1" ht="12.75" customHeight="1">
      <c r="A845" s="16"/>
      <c r="B845" s="16"/>
      <c r="C845" s="16"/>
      <c r="D845" s="16"/>
      <c r="E845" s="16"/>
      <c r="F845" s="16"/>
      <c r="G845" s="16"/>
      <c r="H845" s="16"/>
      <c r="I845" s="16"/>
      <c r="J845" s="90" t="s">
        <v>685</v>
      </c>
      <c r="K845" s="91"/>
      <c r="L845" s="91"/>
      <c r="M845" s="91"/>
      <c r="N845" s="91"/>
      <c r="O845" s="91"/>
      <c r="P845" s="91"/>
      <c r="Q845" s="91"/>
      <c r="R845" s="91"/>
      <c r="S845" s="91"/>
      <c r="T845" s="91"/>
      <c r="U845" s="91"/>
      <c r="V845" s="92"/>
      <c r="W845" s="1774">
        <v>5000</v>
      </c>
      <c r="X845" s="1774"/>
      <c r="Y845" s="1774"/>
      <c r="Z845" s="1774"/>
      <c r="AA845" s="1774"/>
      <c r="AB845" s="1774"/>
      <c r="AC845" s="1774"/>
      <c r="AD845" s="16"/>
      <c r="AE845" s="16"/>
      <c r="AF845" s="16"/>
      <c r="AG845" s="16"/>
      <c r="AH845" s="16"/>
      <c r="AI845" s="16"/>
      <c r="AJ845" s="16"/>
      <c r="AK845" s="16"/>
      <c r="AL845" s="16"/>
      <c r="AM845" s="66"/>
      <c r="AN845" s="66"/>
      <c r="AO845" s="30"/>
      <c r="AP845" s="30"/>
      <c r="AQ845" s="30"/>
      <c r="AR845" s="30"/>
      <c r="AS845" s="30"/>
      <c r="AT845" s="70"/>
      <c r="AU845" s="70"/>
      <c r="AV845" s="70"/>
      <c r="AW845" s="70"/>
      <c r="AX845" s="70"/>
      <c r="AY845" s="70"/>
      <c r="AZ845" s="70"/>
      <c r="BA845" s="70"/>
      <c r="BB845" s="47" t="s">
        <v>537</v>
      </c>
      <c r="BC845" s="867">
        <v>238133</v>
      </c>
      <c r="BD845" s="867">
        <v>274565</v>
      </c>
      <c r="BE845" s="867">
        <v>331200</v>
      </c>
      <c r="BF845" s="867">
        <v>423936</v>
      </c>
      <c r="BG845" s="867">
        <v>472291</v>
      </c>
      <c r="BH845" s="70"/>
      <c r="BI845" s="47" t="s">
        <v>537</v>
      </c>
      <c r="BJ845" s="867">
        <v>238133</v>
      </c>
      <c r="BK845" s="867">
        <v>274565</v>
      </c>
      <c r="BL845" s="867">
        <v>331200</v>
      </c>
      <c r="BM845" s="867">
        <v>423936</v>
      </c>
      <c r="BN845" s="867">
        <v>472291</v>
      </c>
      <c r="BO845" s="75"/>
      <c r="BP845" s="75"/>
      <c r="BQ845" s="75"/>
      <c r="BR845" s="75"/>
      <c r="BS845" s="75"/>
      <c r="BT845" s="75"/>
      <c r="BU845" s="75"/>
      <c r="BV845" s="75"/>
      <c r="BW845" s="75"/>
      <c r="BX845" s="75"/>
      <c r="BY845" s="75"/>
      <c r="BZ845" s="75"/>
      <c r="CA845" s="75"/>
      <c r="CB845" s="75"/>
      <c r="CC845" s="75"/>
      <c r="CD845" s="75"/>
      <c r="CE845" s="75"/>
      <c r="CF845" s="75"/>
      <c r="CG845" s="75"/>
      <c r="CH845" s="75"/>
      <c r="CI845" s="75"/>
      <c r="CJ845" s="75"/>
      <c r="CK845" s="75"/>
      <c r="CL845" s="75"/>
      <c r="CM845" s="75"/>
      <c r="CN845" s="75"/>
      <c r="CO845" s="75"/>
      <c r="CP845" s="75"/>
      <c r="CQ845" s="75"/>
      <c r="CR845" s="75"/>
      <c r="CS845" s="75"/>
    </row>
    <row r="846" spans="1:97" ht="13.8">
      <c r="J846" s="90" t="s">
        <v>684</v>
      </c>
      <c r="K846" s="91"/>
      <c r="L846" s="91"/>
      <c r="M846" s="91"/>
      <c r="N846" s="91"/>
      <c r="O846" s="91"/>
      <c r="P846" s="91"/>
      <c r="Q846" s="91"/>
      <c r="R846" s="91"/>
      <c r="S846" s="91"/>
      <c r="T846" s="91"/>
      <c r="U846" s="91"/>
      <c r="V846" s="92"/>
      <c r="W846" s="1774">
        <v>15000</v>
      </c>
      <c r="X846" s="1774"/>
      <c r="Y846" s="1774"/>
      <c r="Z846" s="1774"/>
      <c r="AA846" s="1774"/>
      <c r="AB846" s="1774"/>
      <c r="AC846" s="1774"/>
      <c r="AM846" s="72"/>
      <c r="AN846" s="72"/>
      <c r="AO846" s="72"/>
      <c r="AP846" s="72"/>
      <c r="AQ846" s="72"/>
      <c r="AR846" s="72"/>
      <c r="AS846" s="72"/>
      <c r="AT846" s="72"/>
      <c r="AU846" s="72"/>
      <c r="AV846" s="72"/>
      <c r="AW846" s="72"/>
      <c r="AX846" s="72"/>
      <c r="AY846" s="72"/>
      <c r="AZ846" s="72"/>
      <c r="BA846" s="72"/>
      <c r="BB846" s="47" t="s">
        <v>539</v>
      </c>
      <c r="BC846" s="866">
        <v>238133</v>
      </c>
      <c r="BD846" s="866">
        <v>274565</v>
      </c>
      <c r="BE846" s="866">
        <v>331200</v>
      </c>
      <c r="BF846" s="866">
        <v>423936</v>
      </c>
      <c r="BG846" s="866">
        <v>472291</v>
      </c>
      <c r="BH846" s="70"/>
      <c r="BI846" s="47" t="s">
        <v>539</v>
      </c>
      <c r="BJ846" s="866">
        <v>238133</v>
      </c>
      <c r="BK846" s="866">
        <v>274565</v>
      </c>
      <c r="BL846" s="866">
        <v>331200</v>
      </c>
      <c r="BM846" s="866">
        <v>423936</v>
      </c>
      <c r="BN846" s="866">
        <v>472291</v>
      </c>
      <c r="BO846" s="72"/>
      <c r="BP846" s="72"/>
      <c r="BQ846" s="72"/>
      <c r="BR846" s="72"/>
      <c r="BS846" s="72"/>
      <c r="BT846" s="72"/>
      <c r="BU846" s="72"/>
      <c r="BV846" s="72"/>
      <c r="BW846" s="72"/>
      <c r="BX846" s="72"/>
      <c r="BY846" s="72"/>
      <c r="BZ846" s="72"/>
      <c r="CA846" s="72"/>
      <c r="CB846" s="72"/>
      <c r="CC846" s="72"/>
      <c r="CD846" s="72"/>
      <c r="CE846" s="72"/>
      <c r="CF846" s="72"/>
      <c r="CG846" s="72"/>
      <c r="CH846" s="72"/>
      <c r="CI846" s="72"/>
      <c r="CJ846" s="72"/>
      <c r="CK846" s="72"/>
      <c r="CL846" s="72"/>
      <c r="CM846" s="72"/>
      <c r="CN846" s="72"/>
      <c r="CO846" s="72"/>
      <c r="CP846" s="72"/>
      <c r="CQ846" s="72"/>
      <c r="CR846" s="72"/>
      <c r="CS846" s="72"/>
    </row>
    <row r="847" spans="1:97" ht="13.8">
      <c r="J847" s="90" t="s">
        <v>311</v>
      </c>
      <c r="K847" s="91"/>
      <c r="L847" s="91"/>
      <c r="M847" s="1808" t="s">
        <v>2441</v>
      </c>
      <c r="N847" s="1991"/>
      <c r="O847" s="1991"/>
      <c r="P847" s="1991"/>
      <c r="Q847" s="1991"/>
      <c r="R847" s="1991"/>
      <c r="S847" s="1991"/>
      <c r="T847" s="1991"/>
      <c r="U847" s="1991"/>
      <c r="V847" s="1992"/>
      <c r="W847" s="1774">
        <v>12000</v>
      </c>
      <c r="X847" s="1774"/>
      <c r="Y847" s="1774"/>
      <c r="Z847" s="1774"/>
      <c r="AA847" s="1774"/>
      <c r="AB847" s="1774"/>
      <c r="AC847" s="1774"/>
      <c r="AM847" s="72"/>
      <c r="AN847" s="72"/>
      <c r="AO847" s="72"/>
      <c r="AP847" s="72"/>
      <c r="AQ847" s="72"/>
      <c r="AR847" s="72"/>
      <c r="AS847" s="72"/>
      <c r="AT847" s="72"/>
      <c r="AU847" s="72"/>
      <c r="AV847" s="72"/>
      <c r="AW847" s="72"/>
      <c r="AX847" s="72"/>
      <c r="AY847" s="72"/>
      <c r="AZ847" s="72"/>
      <c r="BA847" s="72"/>
      <c r="BB847" s="47" t="s">
        <v>540</v>
      </c>
      <c r="BC847" s="867">
        <v>262291</v>
      </c>
      <c r="BD847" s="867">
        <v>302419</v>
      </c>
      <c r="BE847" s="867">
        <v>364800</v>
      </c>
      <c r="BF847" s="867">
        <v>466944</v>
      </c>
      <c r="BG847" s="867">
        <v>520205</v>
      </c>
      <c r="BH847" s="70"/>
      <c r="BI847" s="47" t="s">
        <v>540</v>
      </c>
      <c r="BJ847" s="867">
        <v>262291</v>
      </c>
      <c r="BK847" s="867">
        <v>302419</v>
      </c>
      <c r="BL847" s="867">
        <v>364800</v>
      </c>
      <c r="BM847" s="867">
        <v>466944</v>
      </c>
      <c r="BN847" s="867">
        <v>520205</v>
      </c>
      <c r="BO847" s="72"/>
      <c r="BP847" s="72"/>
      <c r="BQ847" s="72"/>
      <c r="BR847" s="72"/>
      <c r="BS847" s="72"/>
      <c r="BT847" s="72"/>
      <c r="BU847" s="72"/>
      <c r="BV847" s="72"/>
      <c r="BW847" s="72"/>
      <c r="BX847" s="72"/>
      <c r="BY847" s="72"/>
      <c r="BZ847" s="72"/>
      <c r="CA847" s="72"/>
      <c r="CB847" s="72"/>
      <c r="CC847" s="72"/>
      <c r="CD847" s="72"/>
      <c r="CE847" s="72"/>
      <c r="CF847" s="72"/>
      <c r="CG847" s="72"/>
      <c r="CH847" s="72"/>
      <c r="CI847" s="72"/>
      <c r="CJ847" s="72"/>
      <c r="CK847" s="72"/>
      <c r="CL847" s="72"/>
      <c r="CM847" s="72"/>
      <c r="CN847" s="72"/>
      <c r="CO847" s="72"/>
      <c r="CP847" s="72"/>
      <c r="CQ847" s="72"/>
      <c r="CR847" s="72"/>
      <c r="CS847" s="72"/>
    </row>
    <row r="848" spans="1:97" ht="13.8">
      <c r="J848" s="90"/>
      <c r="K848" s="91"/>
      <c r="L848" s="91"/>
      <c r="M848" s="91"/>
      <c r="N848" s="91"/>
      <c r="O848" s="91"/>
      <c r="P848" s="91"/>
      <c r="Q848" s="91"/>
      <c r="R848" s="91"/>
      <c r="S848" s="91"/>
      <c r="T848" s="91"/>
      <c r="U848" s="91"/>
      <c r="V848" s="100" t="s">
        <v>16</v>
      </c>
      <c r="W848" s="2113">
        <f>SUM(W841:AC847)</f>
        <v>82000</v>
      </c>
      <c r="X848" s="2113"/>
      <c r="Y848" s="2113"/>
      <c r="Z848" s="2113"/>
      <c r="AA848" s="2113"/>
      <c r="AB848" s="2113"/>
      <c r="AC848" s="2113"/>
      <c r="AM848" s="72"/>
      <c r="AN848" s="72"/>
      <c r="AO848" s="72"/>
      <c r="AP848" s="72"/>
      <c r="AQ848" s="72"/>
      <c r="AR848" s="72"/>
      <c r="AS848" s="72"/>
      <c r="AT848" s="72"/>
      <c r="AU848" s="72"/>
      <c r="AV848" s="72"/>
      <c r="AW848" s="72"/>
      <c r="AX848" s="72"/>
      <c r="AY848" s="72"/>
      <c r="AZ848" s="72"/>
      <c r="BA848" s="72"/>
      <c r="BB848" s="47" t="s">
        <v>660</v>
      </c>
      <c r="BC848" s="866">
        <v>262291</v>
      </c>
      <c r="BD848" s="866">
        <v>302419</v>
      </c>
      <c r="BE848" s="866">
        <v>364800</v>
      </c>
      <c r="BF848" s="866">
        <v>466944</v>
      </c>
      <c r="BG848" s="866">
        <v>520205</v>
      </c>
      <c r="BH848" s="70"/>
      <c r="BI848" s="47" t="s">
        <v>660</v>
      </c>
      <c r="BJ848" s="866">
        <v>262291</v>
      </c>
      <c r="BK848" s="866">
        <v>302419</v>
      </c>
      <c r="BL848" s="866">
        <v>364800</v>
      </c>
      <c r="BM848" s="866">
        <v>466944</v>
      </c>
      <c r="BN848" s="866">
        <v>520205</v>
      </c>
      <c r="BO848" s="72"/>
      <c r="BP848" s="72"/>
      <c r="BQ848" s="72"/>
      <c r="BR848" s="72"/>
      <c r="BS848" s="72"/>
      <c r="BT848" s="72"/>
      <c r="BU848" s="72"/>
      <c r="BV848" s="72"/>
      <c r="BW848" s="72"/>
      <c r="BX848" s="72"/>
      <c r="BY848" s="72"/>
      <c r="BZ848" s="72"/>
      <c r="CA848" s="72"/>
      <c r="CB848" s="72"/>
      <c r="CC848" s="72"/>
      <c r="CD848" s="72"/>
      <c r="CE848" s="72"/>
      <c r="CF848" s="72"/>
      <c r="CG848" s="72"/>
      <c r="CH848" s="72"/>
      <c r="CI848" s="72"/>
      <c r="CJ848" s="72"/>
      <c r="CK848" s="72"/>
      <c r="CL848" s="72"/>
      <c r="CM848" s="72"/>
      <c r="CN848" s="72"/>
      <c r="CO848" s="72"/>
      <c r="CP848" s="72"/>
      <c r="CQ848" s="72"/>
      <c r="CR848" s="72"/>
      <c r="CS848" s="72"/>
    </row>
    <row r="849" spans="1:97" ht="13.8">
      <c r="AM849" s="72"/>
      <c r="AN849" s="72"/>
      <c r="AO849" s="72"/>
      <c r="AP849" s="72"/>
      <c r="AQ849" s="72"/>
      <c r="AR849" s="72"/>
      <c r="AS849" s="72"/>
      <c r="AT849" s="72"/>
      <c r="AU849" s="72"/>
      <c r="AV849" s="72"/>
      <c r="AW849" s="72"/>
      <c r="AX849" s="72"/>
      <c r="AY849" s="72"/>
      <c r="AZ849" s="72"/>
      <c r="BA849" s="72"/>
      <c r="BB849" s="47" t="s">
        <v>661</v>
      </c>
      <c r="BC849" s="867">
        <v>327289</v>
      </c>
      <c r="BD849" s="867">
        <v>377361</v>
      </c>
      <c r="BE849" s="867">
        <v>455200</v>
      </c>
      <c r="BF849" s="867">
        <v>582656</v>
      </c>
      <c r="BG849" s="867">
        <v>649115</v>
      </c>
      <c r="BH849" s="70"/>
      <c r="BI849" s="47" t="s">
        <v>661</v>
      </c>
      <c r="BJ849" s="867">
        <v>327289</v>
      </c>
      <c r="BK849" s="867">
        <v>377361</v>
      </c>
      <c r="BL849" s="867">
        <v>455200</v>
      </c>
      <c r="BM849" s="867">
        <v>582656</v>
      </c>
      <c r="BN849" s="867">
        <v>649115</v>
      </c>
      <c r="BO849" s="72"/>
      <c r="BP849" s="72"/>
      <c r="BQ849" s="72"/>
      <c r="BR849" s="72"/>
      <c r="BS849" s="72"/>
      <c r="BT849" s="72"/>
      <c r="BU849" s="72"/>
      <c r="BV849" s="72"/>
      <c r="BW849" s="72"/>
      <c r="BX849" s="72"/>
      <c r="BY849" s="72"/>
      <c r="BZ849" s="72"/>
      <c r="CA849" s="72"/>
      <c r="CB849" s="72"/>
      <c r="CC849" s="72"/>
      <c r="CD849" s="72"/>
      <c r="CE849" s="72"/>
      <c r="CF849" s="72"/>
      <c r="CG849" s="72"/>
      <c r="CH849" s="72"/>
      <c r="CI849" s="72"/>
      <c r="CJ849" s="72"/>
      <c r="CK849" s="72"/>
      <c r="CL849" s="72"/>
      <c r="CM849" s="72"/>
      <c r="CN849" s="72"/>
      <c r="CO849" s="72"/>
      <c r="CP849" s="72"/>
      <c r="CQ849" s="72"/>
      <c r="CR849" s="72"/>
      <c r="CS849" s="72"/>
    </row>
    <row r="850" spans="1:97" ht="13.8">
      <c r="C850" s="63" t="s">
        <v>2131</v>
      </c>
      <c r="J850" s="90" t="s">
        <v>311</v>
      </c>
      <c r="K850" s="91"/>
      <c r="L850" s="91"/>
      <c r="M850" s="1808" t="s">
        <v>2442</v>
      </c>
      <c r="N850" s="1991"/>
      <c r="O850" s="1991"/>
      <c r="P850" s="1991"/>
      <c r="Q850" s="1991"/>
      <c r="R850" s="1991"/>
      <c r="S850" s="1991"/>
      <c r="T850" s="1991"/>
      <c r="U850" s="1991"/>
      <c r="V850" s="1992"/>
      <c r="W850" s="1743">
        <v>3000</v>
      </c>
      <c r="X850" s="1744"/>
      <c r="Y850" s="1744"/>
      <c r="Z850" s="1744"/>
      <c r="AA850" s="1744"/>
      <c r="AB850" s="1744"/>
      <c r="AC850" s="1745"/>
      <c r="AM850" s="72"/>
      <c r="AN850" s="72"/>
      <c r="AO850" s="72"/>
      <c r="AP850" s="72"/>
      <c r="AQ850" s="72"/>
      <c r="AR850" s="72"/>
      <c r="AS850" s="72"/>
      <c r="AT850" s="72"/>
      <c r="AU850" s="72"/>
      <c r="AV850" s="72"/>
      <c r="AW850" s="72"/>
      <c r="AX850" s="72"/>
      <c r="AY850" s="72"/>
      <c r="AZ850" s="72"/>
      <c r="BA850" s="72"/>
      <c r="BB850" s="47" t="s">
        <v>663</v>
      </c>
      <c r="BC850" s="866">
        <v>238133</v>
      </c>
      <c r="BD850" s="866">
        <v>274565</v>
      </c>
      <c r="BE850" s="866">
        <v>331200</v>
      </c>
      <c r="BF850" s="866">
        <v>423936</v>
      </c>
      <c r="BG850" s="866">
        <v>472291</v>
      </c>
      <c r="BH850" s="70"/>
      <c r="BI850" s="47" t="s">
        <v>663</v>
      </c>
      <c r="BJ850" s="866">
        <v>238133</v>
      </c>
      <c r="BK850" s="866">
        <v>274565</v>
      </c>
      <c r="BL850" s="866">
        <v>331200</v>
      </c>
      <c r="BM850" s="866">
        <v>423936</v>
      </c>
      <c r="BN850" s="866">
        <v>472291</v>
      </c>
      <c r="BO850" s="72"/>
      <c r="BP850" s="72"/>
      <c r="BQ850" s="72"/>
      <c r="BR850" s="72"/>
      <c r="BS850" s="72"/>
      <c r="BT850" s="72"/>
      <c r="BU850" s="72"/>
      <c r="BV850" s="72"/>
      <c r="BW850" s="72"/>
      <c r="BX850" s="72"/>
      <c r="BY850" s="72"/>
      <c r="BZ850" s="72"/>
      <c r="CA850" s="72"/>
      <c r="CB850" s="72"/>
      <c r="CC850" s="72"/>
      <c r="CD850" s="72"/>
      <c r="CE850" s="72"/>
      <c r="CF850" s="72"/>
      <c r="CG850" s="72"/>
      <c r="CH850" s="72"/>
      <c r="CI850" s="72"/>
      <c r="CJ850" s="72"/>
      <c r="CK850" s="72"/>
      <c r="CL850" s="72"/>
      <c r="CM850" s="72"/>
      <c r="CN850" s="72"/>
      <c r="CO850" s="72"/>
      <c r="CP850" s="72"/>
      <c r="CQ850" s="72"/>
      <c r="CR850" s="72"/>
      <c r="CS850" s="72"/>
    </row>
    <row r="851" spans="1:97" ht="12.75" customHeight="1">
      <c r="C851" s="63" t="s">
        <v>2132</v>
      </c>
      <c r="J851" s="90" t="s">
        <v>311</v>
      </c>
      <c r="K851" s="91"/>
      <c r="L851" s="91"/>
      <c r="M851" s="2015" t="s">
        <v>622</v>
      </c>
      <c r="N851" s="1991"/>
      <c r="O851" s="1991"/>
      <c r="P851" s="1991"/>
      <c r="Q851" s="1991"/>
      <c r="R851" s="1991"/>
      <c r="S851" s="1991"/>
      <c r="T851" s="1991"/>
      <c r="U851" s="1991"/>
      <c r="V851" s="1992"/>
      <c r="W851" s="1743"/>
      <c r="X851" s="1744"/>
      <c r="Y851" s="1744"/>
      <c r="Z851" s="1744"/>
      <c r="AA851" s="1744"/>
      <c r="AB851" s="1744"/>
      <c r="AC851" s="1745"/>
      <c r="AM851" s="72"/>
      <c r="AN851" s="72"/>
      <c r="AO851" s="72"/>
      <c r="AP851" s="72"/>
      <c r="AQ851" s="72"/>
      <c r="AR851" s="72"/>
      <c r="AS851" s="72"/>
      <c r="AT851" s="72"/>
      <c r="AU851" s="72"/>
      <c r="AV851" s="72"/>
      <c r="AW851" s="72"/>
      <c r="AX851" s="72"/>
      <c r="AY851" s="72"/>
      <c r="AZ851" s="72"/>
      <c r="BA851" s="72"/>
      <c r="BB851" s="47" t="s">
        <v>664</v>
      </c>
      <c r="BC851" s="867">
        <v>299104</v>
      </c>
      <c r="BD851" s="867">
        <v>344864</v>
      </c>
      <c r="BE851" s="867">
        <v>416000</v>
      </c>
      <c r="BF851" s="867">
        <v>532480</v>
      </c>
      <c r="BG851" s="867">
        <v>593216</v>
      </c>
      <c r="BH851" s="70"/>
      <c r="BI851" s="47" t="s">
        <v>664</v>
      </c>
      <c r="BJ851" s="867">
        <v>299104</v>
      </c>
      <c r="BK851" s="867">
        <v>344864</v>
      </c>
      <c r="BL851" s="867">
        <v>416000</v>
      </c>
      <c r="BM851" s="867">
        <v>532480</v>
      </c>
      <c r="BN851" s="867">
        <v>593216</v>
      </c>
      <c r="BO851" s="72"/>
      <c r="BP851" s="72"/>
      <c r="BQ851" s="72"/>
      <c r="BR851" s="72"/>
      <c r="BS851" s="72"/>
      <c r="BT851" s="72"/>
      <c r="BU851" s="72"/>
      <c r="BV851" s="72"/>
      <c r="BW851" s="72"/>
      <c r="BX851" s="72"/>
      <c r="BY851" s="72"/>
      <c r="BZ851" s="72"/>
      <c r="CA851" s="72"/>
      <c r="CB851" s="72"/>
      <c r="CC851" s="72"/>
      <c r="CD851" s="72"/>
      <c r="CE851" s="72"/>
      <c r="CF851" s="72"/>
      <c r="CG851" s="72"/>
      <c r="CH851" s="72"/>
      <c r="CI851" s="72"/>
      <c r="CJ851" s="72"/>
      <c r="CK851" s="72"/>
      <c r="CL851" s="72"/>
      <c r="CM851" s="72"/>
      <c r="CN851" s="72"/>
      <c r="CO851" s="72"/>
      <c r="CP851" s="72"/>
      <c r="CQ851" s="72"/>
      <c r="CR851" s="72"/>
      <c r="CS851" s="72"/>
    </row>
    <row r="852" spans="1:97" s="8" customFormat="1" ht="12.75" customHeight="1">
      <c r="A852" s="16"/>
      <c r="B852" s="16"/>
      <c r="C852" s="16"/>
      <c r="D852" s="16"/>
      <c r="E852" s="16"/>
      <c r="F852" s="16"/>
      <c r="G852" s="16"/>
      <c r="H852" s="16"/>
      <c r="I852" s="16"/>
      <c r="J852" s="90" t="s">
        <v>311</v>
      </c>
      <c r="K852" s="91"/>
      <c r="L852" s="91"/>
      <c r="M852" s="2015" t="s">
        <v>622</v>
      </c>
      <c r="N852" s="1991"/>
      <c r="O852" s="1991"/>
      <c r="P852" s="1991"/>
      <c r="Q852" s="1991"/>
      <c r="R852" s="1991"/>
      <c r="S852" s="1991"/>
      <c r="T852" s="1991"/>
      <c r="U852" s="1991"/>
      <c r="V852" s="1992"/>
      <c r="W852" s="1743"/>
      <c r="X852" s="1744"/>
      <c r="Y852" s="1744"/>
      <c r="Z852" s="1744"/>
      <c r="AA852" s="1744"/>
      <c r="AB852" s="1744"/>
      <c r="AC852" s="1745"/>
      <c r="AD852" s="16"/>
      <c r="AE852" s="16"/>
      <c r="AF852" s="16"/>
      <c r="AG852" s="16"/>
      <c r="AH852" s="16"/>
      <c r="AI852" s="16"/>
      <c r="AJ852" s="16"/>
      <c r="AK852" s="16"/>
      <c r="AL852" s="16"/>
      <c r="AM852" s="66"/>
      <c r="AN852" s="66"/>
      <c r="AO852" s="30"/>
      <c r="AP852" s="30"/>
      <c r="AQ852" s="30"/>
      <c r="AR852" s="30"/>
      <c r="AS852" s="30"/>
      <c r="AT852" s="70"/>
      <c r="AU852" s="70"/>
      <c r="AV852" s="70"/>
      <c r="AW852" s="70"/>
      <c r="AX852" s="70"/>
      <c r="AY852" s="70"/>
      <c r="AZ852" s="70"/>
      <c r="BA852" s="70"/>
      <c r="BB852" s="47" t="s">
        <v>665</v>
      </c>
      <c r="BC852" s="866">
        <v>262291</v>
      </c>
      <c r="BD852" s="866">
        <v>302419</v>
      </c>
      <c r="BE852" s="866">
        <v>364800</v>
      </c>
      <c r="BF852" s="866">
        <v>466944</v>
      </c>
      <c r="BG852" s="866">
        <v>520205</v>
      </c>
      <c r="BH852" s="70"/>
      <c r="BI852" s="47" t="s">
        <v>665</v>
      </c>
      <c r="BJ852" s="866">
        <v>262291</v>
      </c>
      <c r="BK852" s="866">
        <v>302419</v>
      </c>
      <c r="BL852" s="866">
        <v>364800</v>
      </c>
      <c r="BM852" s="866">
        <v>466944</v>
      </c>
      <c r="BN852" s="866">
        <v>520205</v>
      </c>
      <c r="BO852" s="75"/>
      <c r="BP852" s="75"/>
      <c r="BQ852" s="75"/>
      <c r="BR852" s="75"/>
      <c r="BS852" s="75"/>
      <c r="BT852" s="75"/>
      <c r="BU852" s="75"/>
      <c r="BV852" s="75"/>
      <c r="BW852" s="75"/>
      <c r="BX852" s="75"/>
      <c r="BY852" s="75"/>
      <c r="BZ852" s="75"/>
      <c r="CA852" s="75"/>
      <c r="CB852" s="75"/>
      <c r="CC852" s="75"/>
      <c r="CD852" s="75"/>
      <c r="CE852" s="75"/>
      <c r="CF852" s="75"/>
      <c r="CG852" s="75"/>
      <c r="CH852" s="75"/>
      <c r="CI852" s="75"/>
      <c r="CJ852" s="75"/>
      <c r="CK852" s="75"/>
      <c r="CL852" s="75"/>
      <c r="CM852" s="75"/>
      <c r="CN852" s="75"/>
      <c r="CO852" s="75"/>
      <c r="CP852" s="75"/>
      <c r="CQ852" s="75"/>
      <c r="CR852" s="75"/>
      <c r="CS852" s="75"/>
    </row>
    <row r="853" spans="1:97" s="8" customFormat="1" ht="12.75" customHeight="1">
      <c r="A853" s="16"/>
      <c r="B853" s="16"/>
      <c r="C853" s="16"/>
      <c r="D853" s="16"/>
      <c r="E853" s="16"/>
      <c r="F853" s="16"/>
      <c r="G853" s="16"/>
      <c r="H853" s="16"/>
      <c r="I853" s="16"/>
      <c r="J853" s="90" t="s">
        <v>311</v>
      </c>
      <c r="K853" s="91"/>
      <c r="L853" s="91"/>
      <c r="M853" s="2015" t="s">
        <v>622</v>
      </c>
      <c r="N853" s="1991"/>
      <c r="O853" s="1991"/>
      <c r="P853" s="1991"/>
      <c r="Q853" s="1991"/>
      <c r="R853" s="1991"/>
      <c r="S853" s="1991"/>
      <c r="T853" s="1991"/>
      <c r="U853" s="1991"/>
      <c r="V853" s="1992"/>
      <c r="W853" s="1743"/>
      <c r="X853" s="1744"/>
      <c r="Y853" s="1744"/>
      <c r="Z853" s="1744"/>
      <c r="AA853" s="1744"/>
      <c r="AB853" s="1744"/>
      <c r="AC853" s="1745"/>
      <c r="AD853" s="16"/>
      <c r="AE853" s="16"/>
      <c r="AF853" s="16"/>
      <c r="AG853" s="16"/>
      <c r="AH853" s="16"/>
      <c r="AI853" s="16"/>
      <c r="AJ853" s="16"/>
      <c r="AK853" s="16"/>
      <c r="AL853" s="16"/>
      <c r="AM853" s="66"/>
      <c r="AN853" s="66"/>
      <c r="AO853" s="30"/>
      <c r="AP853" s="30"/>
      <c r="AQ853" s="30"/>
      <c r="AR853" s="30"/>
      <c r="AS853" s="30"/>
      <c r="AT853" s="70"/>
      <c r="AU853" s="70"/>
      <c r="AV853" s="70"/>
      <c r="AW853" s="70"/>
      <c r="AX853" s="70"/>
      <c r="AY853" s="70"/>
      <c r="AZ853" s="70"/>
      <c r="BA853" s="70"/>
      <c r="BB853" s="47" t="s">
        <v>666</v>
      </c>
      <c r="BC853" s="867">
        <v>262291</v>
      </c>
      <c r="BD853" s="867">
        <v>302419</v>
      </c>
      <c r="BE853" s="867">
        <v>364800</v>
      </c>
      <c r="BF853" s="867">
        <v>466944</v>
      </c>
      <c r="BG853" s="867">
        <v>520205</v>
      </c>
      <c r="BH853" s="70"/>
      <c r="BI853" s="47" t="s">
        <v>666</v>
      </c>
      <c r="BJ853" s="867">
        <v>262291</v>
      </c>
      <c r="BK853" s="867">
        <v>302419</v>
      </c>
      <c r="BL853" s="867">
        <v>364800</v>
      </c>
      <c r="BM853" s="867">
        <v>466944</v>
      </c>
      <c r="BN853" s="867">
        <v>520205</v>
      </c>
      <c r="BO853" s="75"/>
      <c r="BP853" s="75"/>
      <c r="BQ853" s="75"/>
      <c r="BR853" s="75"/>
      <c r="BS853" s="75"/>
      <c r="BT853" s="75"/>
      <c r="BU853" s="75"/>
      <c r="BV853" s="75"/>
      <c r="BW853" s="75"/>
      <c r="BX853" s="75"/>
      <c r="BY853" s="75"/>
      <c r="BZ853" s="75"/>
      <c r="CA853" s="75"/>
      <c r="CB853" s="75"/>
      <c r="CC853" s="75"/>
      <c r="CD853" s="75"/>
      <c r="CE853" s="75"/>
      <c r="CF853" s="75"/>
      <c r="CG853" s="75"/>
      <c r="CH853" s="75"/>
      <c r="CI853" s="75"/>
      <c r="CJ853" s="75"/>
      <c r="CK853" s="75"/>
      <c r="CL853" s="75"/>
      <c r="CM853" s="75"/>
      <c r="CN853" s="75"/>
      <c r="CO853" s="75"/>
      <c r="CP853" s="75"/>
      <c r="CQ853" s="75"/>
      <c r="CR853" s="75"/>
      <c r="CS853" s="75"/>
    </row>
    <row r="854" spans="1:97" s="8" customFormat="1" ht="12.75" customHeight="1">
      <c r="A854" s="16"/>
      <c r="B854" s="16"/>
      <c r="C854" s="16"/>
      <c r="D854" s="16"/>
      <c r="E854" s="16"/>
      <c r="F854" s="16"/>
      <c r="G854" s="16"/>
      <c r="H854" s="16"/>
      <c r="I854" s="16"/>
      <c r="J854" s="90" t="s">
        <v>311</v>
      </c>
      <c r="K854" s="91"/>
      <c r="L854" s="91"/>
      <c r="M854" s="2015" t="s">
        <v>622</v>
      </c>
      <c r="N854" s="1991"/>
      <c r="O854" s="1991"/>
      <c r="P854" s="1991"/>
      <c r="Q854" s="1991"/>
      <c r="R854" s="1991"/>
      <c r="S854" s="1991"/>
      <c r="T854" s="1991"/>
      <c r="U854" s="1991"/>
      <c r="V854" s="1992"/>
      <c r="W854" s="1743"/>
      <c r="X854" s="1744"/>
      <c r="Y854" s="1744"/>
      <c r="Z854" s="1744"/>
      <c r="AA854" s="1744"/>
      <c r="AB854" s="1744"/>
      <c r="AC854" s="1745"/>
      <c r="AD854" s="16"/>
      <c r="AE854" s="16"/>
      <c r="AF854" s="16"/>
      <c r="AG854" s="16"/>
      <c r="AH854" s="16"/>
      <c r="AI854" s="16"/>
      <c r="AJ854" s="16"/>
      <c r="AK854" s="16"/>
      <c r="AL854" s="16"/>
      <c r="AM854" s="66"/>
      <c r="AN854" s="66"/>
      <c r="AO854" s="30"/>
      <c r="AP854" s="30"/>
      <c r="AQ854" s="30"/>
      <c r="AR854" s="30"/>
      <c r="AS854" s="30"/>
      <c r="AT854" s="70"/>
      <c r="AU854" s="70"/>
      <c r="AV854" s="70"/>
      <c r="AW854" s="70"/>
      <c r="AX854" s="70"/>
      <c r="AY854" s="70"/>
      <c r="AZ854" s="70"/>
      <c r="BA854" s="70"/>
      <c r="BB854" s="47" t="s">
        <v>668</v>
      </c>
      <c r="BC854" s="866">
        <v>238133</v>
      </c>
      <c r="BD854" s="866">
        <v>274565</v>
      </c>
      <c r="BE854" s="866">
        <v>331200</v>
      </c>
      <c r="BF854" s="866">
        <v>423936</v>
      </c>
      <c r="BG854" s="866">
        <v>472291</v>
      </c>
      <c r="BH854" s="70"/>
      <c r="BI854" s="47" t="s">
        <v>668</v>
      </c>
      <c r="BJ854" s="866">
        <v>238133</v>
      </c>
      <c r="BK854" s="866">
        <v>274565</v>
      </c>
      <c r="BL854" s="866">
        <v>331200</v>
      </c>
      <c r="BM854" s="866">
        <v>423936</v>
      </c>
      <c r="BN854" s="866">
        <v>472291</v>
      </c>
      <c r="BO854" s="75"/>
      <c r="BP854" s="75"/>
      <c r="BQ854" s="75"/>
      <c r="BR854" s="75"/>
      <c r="BS854" s="75"/>
      <c r="BT854" s="75"/>
      <c r="BU854" s="75"/>
      <c r="BV854" s="75"/>
      <c r="BW854" s="75"/>
      <c r="BX854" s="75"/>
      <c r="BY854" s="75"/>
      <c r="BZ854" s="75"/>
      <c r="CA854" s="75"/>
      <c r="CB854" s="75"/>
      <c r="CC854" s="75"/>
      <c r="CD854" s="75"/>
      <c r="CE854" s="75"/>
      <c r="CF854" s="75"/>
      <c r="CG854" s="75"/>
      <c r="CH854" s="75"/>
      <c r="CI854" s="75"/>
      <c r="CJ854" s="75"/>
      <c r="CK854" s="75"/>
      <c r="CL854" s="75"/>
      <c r="CM854" s="75"/>
      <c r="CN854" s="75"/>
      <c r="CO854" s="75"/>
      <c r="CP854" s="75"/>
      <c r="CQ854" s="75"/>
      <c r="CR854" s="75"/>
      <c r="CS854" s="75"/>
    </row>
    <row r="855" spans="1:97" s="8" customFormat="1" ht="12.75" customHeight="1">
      <c r="A855" s="16"/>
      <c r="B855" s="16"/>
      <c r="C855" s="16"/>
      <c r="D855" s="16"/>
      <c r="E855" s="16"/>
      <c r="F855" s="16"/>
      <c r="G855" s="16"/>
      <c r="H855" s="16"/>
      <c r="I855" s="16"/>
      <c r="J855" s="90"/>
      <c r="K855" s="91"/>
      <c r="L855" s="91"/>
      <c r="M855" s="91"/>
      <c r="N855" s="91"/>
      <c r="O855" s="91"/>
      <c r="P855" s="91"/>
      <c r="Q855" s="91"/>
      <c r="R855" s="91"/>
      <c r="S855" s="91"/>
      <c r="T855" s="91"/>
      <c r="U855" s="91"/>
      <c r="V855" s="100" t="s">
        <v>17</v>
      </c>
      <c r="W855" s="1749">
        <f>SUM(W850:AC854)</f>
        <v>3000</v>
      </c>
      <c r="X855" s="1750"/>
      <c r="Y855" s="1750"/>
      <c r="Z855" s="1750"/>
      <c r="AA855" s="1750"/>
      <c r="AB855" s="1750"/>
      <c r="AC855" s="1751"/>
      <c r="AD855" s="16"/>
      <c r="AE855" s="16"/>
      <c r="AF855" s="16"/>
      <c r="AG855" s="16"/>
      <c r="AH855" s="16"/>
      <c r="AI855" s="16"/>
      <c r="AJ855" s="16"/>
      <c r="AK855" s="16"/>
      <c r="AL855" s="16"/>
      <c r="AM855" s="66"/>
      <c r="AN855" s="66"/>
      <c r="AO855" s="30"/>
      <c r="AP855" s="30"/>
      <c r="AQ855" s="30"/>
      <c r="AR855" s="30"/>
      <c r="AS855" s="30"/>
      <c r="AT855" s="70"/>
      <c r="AU855" s="70"/>
      <c r="AV855" s="70"/>
      <c r="AW855" s="70"/>
      <c r="AX855" s="70"/>
      <c r="AY855" s="70"/>
      <c r="AZ855" s="70"/>
      <c r="BA855" s="70"/>
      <c r="BB855" s="47" t="s">
        <v>669</v>
      </c>
      <c r="BC855" s="867">
        <v>262291</v>
      </c>
      <c r="BD855" s="867">
        <v>302419</v>
      </c>
      <c r="BE855" s="867">
        <v>364800</v>
      </c>
      <c r="BF855" s="867">
        <v>466944</v>
      </c>
      <c r="BG855" s="867">
        <v>520205</v>
      </c>
      <c r="BH855" s="70"/>
      <c r="BI855" s="47" t="s">
        <v>669</v>
      </c>
      <c r="BJ855" s="867">
        <v>262291</v>
      </c>
      <c r="BK855" s="867">
        <v>302419</v>
      </c>
      <c r="BL855" s="867">
        <v>364800</v>
      </c>
      <c r="BM855" s="867">
        <v>466944</v>
      </c>
      <c r="BN855" s="867">
        <v>520205</v>
      </c>
      <c r="BO855" s="75"/>
      <c r="BP855" s="75"/>
      <c r="BQ855" s="75"/>
      <c r="BR855" s="75"/>
      <c r="BS855" s="75"/>
      <c r="BT855" s="75"/>
      <c r="BU855" s="75"/>
      <c r="BV855" s="75"/>
      <c r="BW855" s="75"/>
      <c r="BX855" s="75"/>
      <c r="BY855" s="75"/>
      <c r="BZ855" s="75"/>
      <c r="CA855" s="75"/>
      <c r="CB855" s="75"/>
      <c r="CC855" s="75"/>
      <c r="CD855" s="75"/>
      <c r="CE855" s="75"/>
      <c r="CF855" s="75"/>
      <c r="CG855" s="75"/>
      <c r="CH855" s="75"/>
      <c r="CI855" s="75"/>
      <c r="CJ855" s="75"/>
      <c r="CK855" s="75"/>
      <c r="CL855" s="75"/>
      <c r="CM855" s="75"/>
      <c r="CN855" s="75"/>
      <c r="CO855" s="75"/>
      <c r="CP855" s="75"/>
      <c r="CQ855" s="75"/>
      <c r="CR855" s="75"/>
      <c r="CS855" s="75"/>
    </row>
    <row r="856" spans="1:97" s="8" customFormat="1" ht="12.75" customHeight="1">
      <c r="A856" s="16"/>
      <c r="B856" s="16"/>
      <c r="C856" s="16"/>
      <c r="D856" s="16"/>
      <c r="E856" s="16"/>
      <c r="F856" s="16"/>
      <c r="G856" s="16"/>
      <c r="H856" s="16"/>
      <c r="I856" s="16"/>
      <c r="J856" s="35"/>
      <c r="K856" s="35"/>
      <c r="L856" s="35"/>
      <c r="M856" s="35"/>
      <c r="N856" s="35"/>
      <c r="O856" s="35"/>
      <c r="P856" s="35"/>
      <c r="Q856" s="35"/>
      <c r="R856" s="35"/>
      <c r="S856" s="35"/>
      <c r="T856" s="35"/>
      <c r="U856" s="35"/>
      <c r="V856" s="103"/>
      <c r="W856" s="114"/>
      <c r="X856" s="114"/>
      <c r="Y856" s="114"/>
      <c r="Z856" s="114"/>
      <c r="AA856" s="114"/>
      <c r="AB856" s="114"/>
      <c r="AC856" s="16"/>
      <c r="AD856" s="16"/>
      <c r="AE856" s="16"/>
      <c r="AF856" s="16"/>
      <c r="AG856" s="16"/>
      <c r="AH856" s="16"/>
      <c r="AI856" s="16"/>
      <c r="AJ856" s="16"/>
      <c r="AK856" s="16"/>
      <c r="AL856" s="16"/>
      <c r="AM856" s="66"/>
      <c r="AN856" s="66"/>
      <c r="AO856" s="30"/>
      <c r="AP856" s="30"/>
      <c r="AQ856" s="30"/>
      <c r="AR856" s="30"/>
      <c r="AS856" s="30"/>
      <c r="AT856" s="70"/>
      <c r="AU856" s="70"/>
      <c r="AV856" s="70"/>
      <c r="AW856" s="70"/>
      <c r="AX856" s="70"/>
      <c r="AY856" s="70"/>
      <c r="AZ856" s="70"/>
      <c r="BA856" s="70"/>
      <c r="BB856" s="47" t="s">
        <v>670</v>
      </c>
      <c r="BC856" s="866">
        <v>262291</v>
      </c>
      <c r="BD856" s="866">
        <v>302419</v>
      </c>
      <c r="BE856" s="866">
        <v>364800</v>
      </c>
      <c r="BF856" s="866">
        <v>466944</v>
      </c>
      <c r="BG856" s="866">
        <v>520205</v>
      </c>
      <c r="BH856" s="70"/>
      <c r="BI856" s="47" t="s">
        <v>670</v>
      </c>
      <c r="BJ856" s="866">
        <v>262291</v>
      </c>
      <c r="BK856" s="866">
        <v>302419</v>
      </c>
      <c r="BL856" s="866">
        <v>364800</v>
      </c>
      <c r="BM856" s="866">
        <v>466944</v>
      </c>
      <c r="BN856" s="866">
        <v>520205</v>
      </c>
      <c r="BO856" s="75"/>
      <c r="BP856" s="75"/>
      <c r="BQ856" s="75"/>
      <c r="BR856" s="75"/>
      <c r="BS856" s="75"/>
      <c r="BT856" s="75"/>
      <c r="BU856" s="75"/>
      <c r="BV856" s="75"/>
      <c r="BW856" s="75"/>
      <c r="BX856" s="75"/>
      <c r="BY856" s="75"/>
      <c r="BZ856" s="75"/>
      <c r="CA856" s="75"/>
      <c r="CB856" s="75"/>
      <c r="CC856" s="75"/>
      <c r="CD856" s="75"/>
      <c r="CE856" s="75"/>
      <c r="CF856" s="75"/>
      <c r="CG856" s="75"/>
      <c r="CH856" s="75"/>
      <c r="CI856" s="75"/>
      <c r="CJ856" s="75"/>
      <c r="CK856" s="75"/>
      <c r="CL856" s="75"/>
      <c r="CM856" s="75"/>
      <c r="CN856" s="75"/>
      <c r="CO856" s="75"/>
      <c r="CP856" s="75"/>
      <c r="CQ856" s="75"/>
      <c r="CR856" s="75"/>
      <c r="CS856" s="75"/>
    </row>
    <row r="857" spans="1:97" s="8" customFormat="1" ht="12.75" customHeight="1">
      <c r="A857" s="16"/>
      <c r="B857" s="16"/>
      <c r="C857" s="63" t="s">
        <v>165</v>
      </c>
      <c r="D857" s="16"/>
      <c r="E857" s="16"/>
      <c r="F857" s="16"/>
      <c r="G857" s="16"/>
      <c r="H857" s="16"/>
      <c r="I857" s="16"/>
      <c r="J857" s="35"/>
      <c r="K857" s="35"/>
      <c r="L857" s="35"/>
      <c r="M857" s="35"/>
      <c r="N857" s="35"/>
      <c r="O857" s="35"/>
      <c r="P857" s="35"/>
      <c r="Q857" s="35"/>
      <c r="R857" s="35"/>
      <c r="S857" s="35"/>
      <c r="T857" s="35"/>
      <c r="U857" s="35"/>
      <c r="V857" s="103"/>
      <c r="W857" s="114"/>
      <c r="X857" s="114"/>
      <c r="Y857" s="114"/>
      <c r="Z857" s="114"/>
      <c r="AA857" s="114"/>
      <c r="AB857" s="114"/>
      <c r="AC857" s="16"/>
      <c r="AD857" s="16"/>
      <c r="AE857" s="16"/>
      <c r="AF857" s="16"/>
      <c r="AG857" s="16"/>
      <c r="AH857" s="16"/>
      <c r="AI857" s="16"/>
      <c r="AJ857" s="16"/>
      <c r="AK857" s="16"/>
      <c r="AL857" s="16"/>
      <c r="AM857" s="66"/>
      <c r="AN857" s="66"/>
      <c r="AO857" s="30"/>
      <c r="AP857" s="30"/>
      <c r="AQ857" s="30"/>
      <c r="AR857" s="30"/>
      <c r="AS857" s="30"/>
      <c r="AT857" s="70"/>
      <c r="AU857" s="70"/>
      <c r="AV857" s="70"/>
      <c r="AW857" s="70"/>
      <c r="AX857" s="70"/>
      <c r="AY857" s="70"/>
      <c r="AZ857" s="70"/>
      <c r="BA857" s="70"/>
      <c r="BB857" s="47" t="s">
        <v>632</v>
      </c>
      <c r="BC857" s="867">
        <v>303706</v>
      </c>
      <c r="BD857" s="867">
        <v>350170</v>
      </c>
      <c r="BE857" s="867">
        <v>422400</v>
      </c>
      <c r="BF857" s="867">
        <v>540672</v>
      </c>
      <c r="BG857" s="867">
        <v>602342</v>
      </c>
      <c r="BH857" s="70"/>
      <c r="BI857" s="47" t="s">
        <v>632</v>
      </c>
      <c r="BJ857" s="867">
        <v>303706</v>
      </c>
      <c r="BK857" s="867">
        <v>350170</v>
      </c>
      <c r="BL857" s="867">
        <v>422400</v>
      </c>
      <c r="BM857" s="867">
        <v>540672</v>
      </c>
      <c r="BN857" s="867">
        <v>602342</v>
      </c>
      <c r="BO857" s="75"/>
      <c r="BP857" s="75"/>
      <c r="BQ857" s="75"/>
      <c r="BR857" s="75"/>
      <c r="BS857" s="75"/>
      <c r="BT857" s="75"/>
      <c r="BU857" s="75"/>
      <c r="BV857" s="75"/>
      <c r="BW857" s="75"/>
      <c r="BX857" s="75"/>
      <c r="BY857" s="75"/>
      <c r="BZ857" s="75"/>
      <c r="CA857" s="75"/>
      <c r="CB857" s="75"/>
      <c r="CC857" s="75"/>
      <c r="CD857" s="75"/>
      <c r="CE857" s="75"/>
      <c r="CF857" s="75"/>
      <c r="CG857" s="75"/>
      <c r="CH857" s="75"/>
      <c r="CI857" s="75"/>
      <c r="CJ857" s="75"/>
      <c r="CK857" s="75"/>
      <c r="CL857" s="75"/>
      <c r="CM857" s="75"/>
      <c r="CN857" s="75"/>
      <c r="CO857" s="75"/>
      <c r="CP857" s="75"/>
      <c r="CQ857" s="75"/>
      <c r="CR857" s="75"/>
      <c r="CS857" s="75"/>
    </row>
    <row r="858" spans="1:97" s="8" customFormat="1" ht="12.75" customHeight="1">
      <c r="A858" s="16"/>
      <c r="B858" s="16"/>
      <c r="C858" s="16"/>
      <c r="D858" s="16"/>
      <c r="E858" s="16"/>
      <c r="F858" s="16"/>
      <c r="G858" s="16"/>
      <c r="H858" s="16"/>
      <c r="I858" s="16"/>
      <c r="J858" s="35"/>
      <c r="K858" s="35"/>
      <c r="L858" s="35"/>
      <c r="M858" s="35"/>
      <c r="N858" s="35"/>
      <c r="O858" s="35"/>
      <c r="P858" s="35"/>
      <c r="Q858" s="35"/>
      <c r="R858" s="35"/>
      <c r="S858" s="35"/>
      <c r="T858" s="35"/>
      <c r="U858" s="35"/>
      <c r="V858" s="103"/>
      <c r="W858" s="114"/>
      <c r="X858" s="114"/>
      <c r="Y858" s="114"/>
      <c r="Z858" s="114"/>
      <c r="AA858" s="114"/>
      <c r="AB858" s="114"/>
      <c r="AC858" s="16"/>
      <c r="AD858" s="16"/>
      <c r="AE858" s="16"/>
      <c r="AF858" s="16"/>
      <c r="AG858" s="16"/>
      <c r="AH858" s="16"/>
      <c r="AI858" s="16"/>
      <c r="AJ858" s="16"/>
      <c r="AK858" s="16"/>
      <c r="AL858" s="16"/>
      <c r="AM858" s="66"/>
      <c r="AN858" s="66"/>
      <c r="AO858" s="30"/>
      <c r="AP858" s="30"/>
      <c r="AQ858" s="30"/>
      <c r="AR858" s="30"/>
      <c r="AS858" s="30"/>
      <c r="AT858" s="70"/>
      <c r="AU858" s="70"/>
      <c r="AV858" s="70"/>
      <c r="AW858" s="70"/>
      <c r="AX858" s="70"/>
      <c r="AY858" s="70"/>
      <c r="AZ858" s="70"/>
      <c r="BA858" s="70"/>
      <c r="BB858" s="47" t="s">
        <v>634</v>
      </c>
      <c r="BC858" s="866">
        <v>299104</v>
      </c>
      <c r="BD858" s="866">
        <v>344864</v>
      </c>
      <c r="BE858" s="866">
        <v>416000</v>
      </c>
      <c r="BF858" s="866">
        <v>532480</v>
      </c>
      <c r="BG858" s="866">
        <v>593216</v>
      </c>
      <c r="BH858" s="70"/>
      <c r="BI858" s="47" t="s">
        <v>634</v>
      </c>
      <c r="BJ858" s="866">
        <v>299104</v>
      </c>
      <c r="BK858" s="866">
        <v>344864</v>
      </c>
      <c r="BL858" s="866">
        <v>416000</v>
      </c>
      <c r="BM858" s="866">
        <v>532480</v>
      </c>
      <c r="BN858" s="866">
        <v>593216</v>
      </c>
      <c r="BO858" s="75"/>
      <c r="BP858" s="75"/>
      <c r="BQ858" s="75"/>
      <c r="BR858" s="75"/>
      <c r="BS858" s="75"/>
      <c r="BT858" s="75"/>
      <c r="BU858" s="75"/>
      <c r="BV858" s="75"/>
      <c r="BW858" s="75"/>
      <c r="BX858" s="75"/>
      <c r="BY858" s="75"/>
      <c r="BZ858" s="75"/>
      <c r="CA858" s="75"/>
      <c r="CB858" s="75"/>
      <c r="CC858" s="75"/>
      <c r="CD858" s="75"/>
      <c r="CE858" s="75"/>
      <c r="CF858" s="75"/>
      <c r="CG858" s="75"/>
      <c r="CH858" s="75"/>
      <c r="CI858" s="75"/>
      <c r="CJ858" s="75"/>
      <c r="CK858" s="75"/>
      <c r="CL858" s="75"/>
      <c r="CM858" s="75"/>
      <c r="CN858" s="75"/>
      <c r="CO858" s="75"/>
      <c r="CP858" s="75"/>
      <c r="CQ858" s="75"/>
      <c r="CR858" s="75"/>
      <c r="CS858" s="75"/>
    </row>
    <row r="859" spans="1:97" s="8" customFormat="1" ht="12.75" customHeight="1">
      <c r="A859" s="16"/>
      <c r="B859" s="16"/>
      <c r="C859" s="16"/>
      <c r="D859" s="16"/>
      <c r="E859" s="90"/>
      <c r="F859" s="91"/>
      <c r="G859" s="91"/>
      <c r="H859" s="91"/>
      <c r="I859" s="91"/>
      <c r="J859" s="91"/>
      <c r="K859" s="91"/>
      <c r="L859" s="91"/>
      <c r="M859" s="91"/>
      <c r="N859" s="91"/>
      <c r="O859" s="91"/>
      <c r="P859" s="91"/>
      <c r="Q859" s="91"/>
      <c r="R859" s="91"/>
      <c r="S859" s="91"/>
      <c r="T859" s="91"/>
      <c r="U859" s="91"/>
      <c r="V859" s="91"/>
      <c r="W859" s="91"/>
      <c r="X859" s="91"/>
      <c r="Y859" s="91"/>
      <c r="Z859" s="91"/>
      <c r="AA859" s="91"/>
      <c r="AB859" s="100" t="s">
        <v>18</v>
      </c>
      <c r="AC859" s="1749">
        <f>W823+W831+W838+W839+W848+W855+W825</f>
        <v>323882</v>
      </c>
      <c r="AD859" s="1750"/>
      <c r="AE859" s="1750"/>
      <c r="AF859" s="1750"/>
      <c r="AG859" s="1750"/>
      <c r="AH859" s="1751"/>
      <c r="AI859" s="16"/>
      <c r="AJ859" s="16"/>
      <c r="AK859" s="16"/>
      <c r="AL859" s="16"/>
      <c r="AM859" s="66"/>
      <c r="AN859" s="66"/>
      <c r="AO859" s="30"/>
      <c r="AP859" s="30"/>
      <c r="AQ859" s="30"/>
      <c r="AR859" s="30"/>
      <c r="AS859" s="30"/>
      <c r="AT859" s="70"/>
      <c r="AU859" s="70"/>
      <c r="AV859" s="70"/>
      <c r="AW859" s="70"/>
      <c r="AX859" s="70"/>
      <c r="AY859" s="70"/>
      <c r="AZ859" s="70"/>
      <c r="BA859" s="70"/>
      <c r="BB859" s="47" t="s">
        <v>635</v>
      </c>
      <c r="BC859" s="867">
        <v>262291</v>
      </c>
      <c r="BD859" s="867">
        <v>302419</v>
      </c>
      <c r="BE859" s="867">
        <v>364800</v>
      </c>
      <c r="BF859" s="867">
        <v>466944</v>
      </c>
      <c r="BG859" s="867">
        <v>520205</v>
      </c>
      <c r="BH859" s="70"/>
      <c r="BI859" s="47" t="s">
        <v>635</v>
      </c>
      <c r="BJ859" s="867">
        <v>262291</v>
      </c>
      <c r="BK859" s="867">
        <v>302419</v>
      </c>
      <c r="BL859" s="867">
        <v>364800</v>
      </c>
      <c r="BM859" s="867">
        <v>466944</v>
      </c>
      <c r="BN859" s="867">
        <v>520205</v>
      </c>
      <c r="BO859" s="75"/>
      <c r="BP859" s="75"/>
      <c r="BQ859" s="75"/>
      <c r="BR859" s="75"/>
      <c r="BS859" s="75"/>
      <c r="BT859" s="75"/>
      <c r="BU859" s="75"/>
      <c r="BV859" s="75"/>
      <c r="BW859" s="75"/>
      <c r="BX859" s="75"/>
      <c r="BY859" s="75"/>
      <c r="BZ859" s="75"/>
      <c r="CA859" s="75"/>
      <c r="CB859" s="75"/>
      <c r="CC859" s="75"/>
      <c r="CD859" s="75"/>
      <c r="CE859" s="75"/>
      <c r="CF859" s="75"/>
      <c r="CG859" s="75"/>
      <c r="CH859" s="75"/>
      <c r="CI859" s="75"/>
      <c r="CJ859" s="75"/>
      <c r="CK859" s="75"/>
      <c r="CL859" s="75"/>
      <c r="CM859" s="75"/>
      <c r="CN859" s="75"/>
      <c r="CO859" s="75"/>
      <c r="CP859" s="75"/>
      <c r="CQ859" s="75"/>
      <c r="CR859" s="75"/>
      <c r="CS859" s="75"/>
    </row>
    <row r="860" spans="1:97" s="8" customFormat="1" ht="12.75" customHeight="1">
      <c r="A860" s="16"/>
      <c r="B860" s="16"/>
      <c r="C860" s="16"/>
      <c r="D860" s="16"/>
      <c r="E860" s="90"/>
      <c r="F860" s="91"/>
      <c r="G860" s="91"/>
      <c r="H860" s="91"/>
      <c r="I860" s="91"/>
      <c r="J860" s="91"/>
      <c r="K860" s="91"/>
      <c r="L860" s="91"/>
      <c r="M860" s="91"/>
      <c r="N860" s="91"/>
      <c r="O860" s="91"/>
      <c r="P860" s="91"/>
      <c r="Q860" s="91"/>
      <c r="R860" s="91"/>
      <c r="S860" s="91"/>
      <c r="T860" s="91"/>
      <c r="U860" s="91"/>
      <c r="V860" s="91"/>
      <c r="W860" s="91"/>
      <c r="X860" s="91"/>
      <c r="Y860" s="91"/>
      <c r="Z860" s="91"/>
      <c r="AA860" s="91"/>
      <c r="AB860" s="100" t="s">
        <v>764</v>
      </c>
      <c r="AC860" s="2096">
        <f>O774+O754+G729</f>
        <v>41</v>
      </c>
      <c r="AD860" s="2097"/>
      <c r="AE860" s="2097"/>
      <c r="AF860" s="2097"/>
      <c r="AG860" s="2097"/>
      <c r="AH860" s="2098"/>
      <c r="AI860" s="16"/>
      <c r="AJ860" s="16"/>
      <c r="AK860" s="16"/>
      <c r="AL860" s="16"/>
      <c r="AM860" s="66"/>
      <c r="AN860" s="66"/>
      <c r="AO860" s="30"/>
      <c r="AP860" s="30"/>
      <c r="AQ860" s="30"/>
      <c r="AR860" s="30"/>
      <c r="AS860" s="30"/>
      <c r="AT860" s="70"/>
      <c r="AU860" s="70"/>
      <c r="AV860" s="70"/>
      <c r="AW860" s="70"/>
      <c r="AX860" s="70"/>
      <c r="AY860" s="70"/>
      <c r="AZ860" s="70"/>
      <c r="BA860" s="70"/>
      <c r="BB860" s="47" t="s">
        <v>636</v>
      </c>
      <c r="BC860" s="866">
        <v>279547</v>
      </c>
      <c r="BD860" s="866">
        <v>322315</v>
      </c>
      <c r="BE860" s="866">
        <v>388800</v>
      </c>
      <c r="BF860" s="866">
        <v>497664</v>
      </c>
      <c r="BG860" s="866">
        <v>554429</v>
      </c>
      <c r="BH860" s="70"/>
      <c r="BI860" s="47" t="s">
        <v>636</v>
      </c>
      <c r="BJ860" s="866">
        <v>279547</v>
      </c>
      <c r="BK860" s="866">
        <v>322315</v>
      </c>
      <c r="BL860" s="866">
        <v>388800</v>
      </c>
      <c r="BM860" s="866">
        <v>497664</v>
      </c>
      <c r="BN860" s="866">
        <v>554429</v>
      </c>
      <c r="BO860" s="75"/>
      <c r="BP860" s="75"/>
      <c r="BQ860" s="75"/>
      <c r="BR860" s="75"/>
      <c r="BS860" s="75"/>
      <c r="BT860" s="75"/>
      <c r="BU860" s="75"/>
      <c r="BV860" s="75"/>
      <c r="BW860" s="75"/>
      <c r="BX860" s="75"/>
      <c r="BY860" s="75"/>
      <c r="BZ860" s="75"/>
      <c r="CA860" s="75"/>
      <c r="CB860" s="75"/>
      <c r="CC860" s="75"/>
      <c r="CD860" s="75"/>
      <c r="CE860" s="75"/>
      <c r="CF860" s="75"/>
      <c r="CG860" s="75"/>
      <c r="CH860" s="75"/>
      <c r="CI860" s="75"/>
      <c r="CJ860" s="75"/>
      <c r="CK860" s="75"/>
      <c r="CL860" s="75"/>
      <c r="CM860" s="75"/>
      <c r="CN860" s="75"/>
      <c r="CO860" s="75"/>
      <c r="CP860" s="75"/>
      <c r="CQ860" s="75"/>
      <c r="CR860" s="75"/>
      <c r="CS860" s="75"/>
    </row>
    <row r="861" spans="1:97" s="8" customFormat="1" ht="12.75" customHeight="1" thickBot="1">
      <c r="A861" s="16"/>
      <c r="B861" s="16"/>
      <c r="C861" s="16"/>
      <c r="D861" s="16"/>
      <c r="E861" s="2172" t="s">
        <v>385</v>
      </c>
      <c r="F861" s="2173"/>
      <c r="G861" s="2173"/>
      <c r="H861" s="2173"/>
      <c r="I861" s="2173"/>
      <c r="J861" s="2173"/>
      <c r="K861" s="2173"/>
      <c r="L861" s="2173"/>
      <c r="M861" s="2173"/>
      <c r="N861" s="2173"/>
      <c r="O861" s="2173"/>
      <c r="P861" s="2173"/>
      <c r="Q861" s="2173"/>
      <c r="R861" s="2173"/>
      <c r="S861" s="2173"/>
      <c r="T861" s="2173"/>
      <c r="U861" s="2173"/>
      <c r="V861" s="2173"/>
      <c r="W861" s="2173"/>
      <c r="X861" s="2173"/>
      <c r="Y861" s="2173"/>
      <c r="Z861" s="2173"/>
      <c r="AA861" s="2173"/>
      <c r="AB861" s="2174"/>
      <c r="AC861" s="2111">
        <f>IF(ISERROR((ROUNDDOWN(AC859/AC860,0))),0,(ROUNDDOWN(AC859/AC860,0)))</f>
        <v>7899</v>
      </c>
      <c r="AD861" s="2112"/>
      <c r="AE861" s="2112"/>
      <c r="AF861" s="2112"/>
      <c r="AG861" s="2112"/>
      <c r="AH861" s="2112"/>
      <c r="AI861" s="16"/>
      <c r="AJ861" s="16"/>
      <c r="AK861" s="16"/>
      <c r="AL861" s="116"/>
      <c r="AM861" s="66"/>
      <c r="AN861" s="66"/>
      <c r="AO861" s="30"/>
      <c r="AP861" s="30"/>
      <c r="AQ861" s="30"/>
      <c r="AR861" s="30"/>
      <c r="AS861" s="30"/>
      <c r="AT861" s="70"/>
      <c r="AU861" s="70"/>
      <c r="AV861" s="70"/>
      <c r="AW861" s="70"/>
      <c r="AX861" s="70"/>
      <c r="AY861" s="70"/>
      <c r="AZ861" s="70"/>
      <c r="BA861" s="70"/>
      <c r="BB861" s="47" t="s">
        <v>637</v>
      </c>
      <c r="BC861" s="867">
        <v>278397</v>
      </c>
      <c r="BD861" s="867">
        <v>320989</v>
      </c>
      <c r="BE861" s="867">
        <v>387200</v>
      </c>
      <c r="BF861" s="867">
        <v>495616</v>
      </c>
      <c r="BG861" s="867">
        <v>552147</v>
      </c>
      <c r="BH861" s="70"/>
      <c r="BI861" s="47" t="s">
        <v>637</v>
      </c>
      <c r="BJ861" s="867">
        <v>278397</v>
      </c>
      <c r="BK861" s="867">
        <v>320989</v>
      </c>
      <c r="BL861" s="867">
        <v>387200</v>
      </c>
      <c r="BM861" s="867">
        <v>495616</v>
      </c>
      <c r="BN861" s="867">
        <v>552147</v>
      </c>
      <c r="BO861" s="75"/>
      <c r="BP861" s="75"/>
      <c r="BQ861" s="75"/>
      <c r="BR861" s="75"/>
      <c r="BS861" s="75"/>
      <c r="BT861" s="75"/>
      <c r="BU861" s="75"/>
      <c r="BV861" s="75"/>
      <c r="BW861" s="75"/>
      <c r="BX861" s="75"/>
      <c r="BY861" s="75"/>
      <c r="BZ861" s="75"/>
      <c r="CA861" s="75"/>
      <c r="CB861" s="75"/>
      <c r="CC861" s="75"/>
      <c r="CD861" s="75"/>
      <c r="CE861" s="75"/>
      <c r="CF861" s="75"/>
      <c r="CG861" s="75"/>
      <c r="CH861" s="75"/>
      <c r="CI861" s="75"/>
      <c r="CJ861" s="75"/>
      <c r="CK861" s="75"/>
      <c r="CL861" s="75"/>
      <c r="CM861" s="75"/>
      <c r="CN861" s="75"/>
      <c r="CO861" s="75"/>
      <c r="CP861" s="75"/>
      <c r="CQ861" s="75"/>
      <c r="CR861" s="75"/>
      <c r="CS861" s="75"/>
    </row>
    <row r="862" spans="1:97" s="8" customFormat="1" ht="12.75" customHeight="1" thickTop="1">
      <c r="A862" s="16"/>
      <c r="B862" s="16"/>
      <c r="C862" s="16"/>
      <c r="D862" s="3"/>
      <c r="E862" s="93"/>
      <c r="F862" s="94"/>
      <c r="G862" s="94"/>
      <c r="H862" s="94"/>
      <c r="I862" s="94"/>
      <c r="J862" s="94"/>
      <c r="K862" s="94"/>
      <c r="L862" s="94"/>
      <c r="M862" s="94"/>
      <c r="N862" s="94"/>
      <c r="O862" s="94"/>
      <c r="P862" s="94"/>
      <c r="Q862" s="94"/>
      <c r="R862" s="94"/>
      <c r="S862" s="94"/>
      <c r="T862" s="94"/>
      <c r="U862" s="94"/>
      <c r="V862" s="94"/>
      <c r="W862" s="94"/>
      <c r="X862" s="94"/>
      <c r="Y862" s="94"/>
      <c r="Z862" s="94"/>
      <c r="AA862" s="94"/>
      <c r="AB862" s="1351" t="s">
        <v>706</v>
      </c>
      <c r="AC862" s="1755">
        <f>'Sources and Uses Budget'!B74</f>
        <v>192090</v>
      </c>
      <c r="AD862" s="2017"/>
      <c r="AE862" s="2017"/>
      <c r="AF862" s="2017"/>
      <c r="AG862" s="2017"/>
      <c r="AH862" s="2017"/>
      <c r="AI862" s="16"/>
      <c r="AJ862" s="16"/>
      <c r="AK862" s="16"/>
      <c r="AL862" s="16"/>
      <c r="AM862" s="66"/>
      <c r="AN862" s="66"/>
      <c r="AO862" s="30"/>
      <c r="AP862" s="30"/>
      <c r="AQ862" s="30"/>
      <c r="AR862" s="30"/>
      <c r="AS862" s="30"/>
      <c r="AT862" s="70"/>
      <c r="AU862" s="70"/>
      <c r="AV862" s="70"/>
      <c r="AW862" s="70"/>
      <c r="AX862" s="70"/>
      <c r="AY862" s="70"/>
      <c r="AZ862" s="70"/>
      <c r="BA862" s="70"/>
      <c r="BB862" s="47" t="s">
        <v>639</v>
      </c>
      <c r="BC862" s="866">
        <v>262291</v>
      </c>
      <c r="BD862" s="866">
        <v>302419</v>
      </c>
      <c r="BE862" s="866">
        <v>364800</v>
      </c>
      <c r="BF862" s="866">
        <v>466944</v>
      </c>
      <c r="BG862" s="866">
        <v>520205</v>
      </c>
      <c r="BH862" s="70"/>
      <c r="BI862" s="47" t="s">
        <v>639</v>
      </c>
      <c r="BJ862" s="866">
        <v>262291</v>
      </c>
      <c r="BK862" s="866">
        <v>302419</v>
      </c>
      <c r="BL862" s="866">
        <v>364800</v>
      </c>
      <c r="BM862" s="866">
        <v>466944</v>
      </c>
      <c r="BN862" s="866">
        <v>520205</v>
      </c>
      <c r="BO862" s="75"/>
      <c r="BP862" s="75"/>
      <c r="BQ862" s="75"/>
      <c r="BR862" s="75"/>
      <c r="BS862" s="75"/>
      <c r="BT862" s="75"/>
      <c r="BU862" s="75"/>
      <c r="BV862" s="75"/>
      <c r="BW862" s="75"/>
      <c r="BX862" s="75"/>
      <c r="BY862" s="75"/>
      <c r="BZ862" s="75"/>
      <c r="CA862" s="75"/>
      <c r="CB862" s="75"/>
      <c r="CC862" s="75"/>
      <c r="CD862" s="75"/>
      <c r="CE862" s="75"/>
      <c r="CF862" s="75"/>
      <c r="CG862" s="75"/>
      <c r="CH862" s="75"/>
      <c r="CI862" s="75"/>
      <c r="CJ862" s="75"/>
      <c r="CK862" s="75"/>
      <c r="CL862" s="75"/>
      <c r="CM862" s="75"/>
      <c r="CN862" s="75"/>
      <c r="CO862" s="75"/>
      <c r="CP862" s="75"/>
      <c r="CQ862" s="75"/>
      <c r="CR862" s="75"/>
      <c r="CS862" s="75"/>
    </row>
    <row r="863" spans="1:97" s="8" customFormat="1" ht="12.75" customHeight="1">
      <c r="A863" s="16"/>
      <c r="B863" s="16"/>
      <c r="C863" s="16"/>
      <c r="D863" s="3"/>
      <c r="E863" s="90"/>
      <c r="F863" s="91"/>
      <c r="G863" s="91"/>
      <c r="H863" s="91"/>
      <c r="I863" s="91"/>
      <c r="J863" s="91"/>
      <c r="K863" s="91"/>
      <c r="L863" s="91"/>
      <c r="M863" s="91"/>
      <c r="N863" s="91"/>
      <c r="O863" s="91"/>
      <c r="P863" s="91"/>
      <c r="Q863" s="91"/>
      <c r="R863" s="91"/>
      <c r="S863" s="91"/>
      <c r="T863" s="91"/>
      <c r="U863" s="91"/>
      <c r="V863" s="91"/>
      <c r="W863" s="91"/>
      <c r="X863" s="91"/>
      <c r="Y863" s="91"/>
      <c r="Z863" s="91"/>
      <c r="AA863" s="91"/>
      <c r="AB863" s="100" t="s">
        <v>1895</v>
      </c>
      <c r="AC863" s="1745"/>
      <c r="AD863" s="1774"/>
      <c r="AE863" s="1774"/>
      <c r="AF863" s="1774"/>
      <c r="AG863" s="1774"/>
      <c r="AH863" s="1774"/>
      <c r="AI863" s="16"/>
      <c r="AJ863" s="16"/>
      <c r="AK863" s="16"/>
      <c r="AL863" s="16"/>
      <c r="AM863" s="66"/>
      <c r="AN863" s="66"/>
      <c r="AO863" s="30"/>
      <c r="AP863" s="30"/>
      <c r="AQ863" s="30"/>
      <c r="AR863" s="30"/>
      <c r="AS863" s="30"/>
      <c r="AT863" s="70"/>
      <c r="AU863" s="70"/>
      <c r="AV863" s="70"/>
      <c r="AW863" s="70"/>
      <c r="AX863" s="70"/>
      <c r="AY863" s="70"/>
      <c r="AZ863" s="70"/>
      <c r="BA863" s="70"/>
      <c r="BB863" s="47" t="s">
        <v>640</v>
      </c>
      <c r="BC863" s="867">
        <v>228930</v>
      </c>
      <c r="BD863" s="867">
        <v>263954</v>
      </c>
      <c r="BE863" s="867">
        <v>318400</v>
      </c>
      <c r="BF863" s="867">
        <v>407552</v>
      </c>
      <c r="BG863" s="867">
        <v>454038</v>
      </c>
      <c r="BH863" s="70"/>
      <c r="BI863" s="47" t="s">
        <v>640</v>
      </c>
      <c r="BJ863" s="867">
        <v>228930</v>
      </c>
      <c r="BK863" s="867">
        <v>263954</v>
      </c>
      <c r="BL863" s="867">
        <v>318400</v>
      </c>
      <c r="BM863" s="867">
        <v>407552</v>
      </c>
      <c r="BN863" s="867">
        <v>454038</v>
      </c>
      <c r="BO863" s="75"/>
      <c r="BP863" s="75"/>
      <c r="BQ863" s="75"/>
      <c r="BR863" s="75"/>
      <c r="BS863" s="75"/>
      <c r="BT863" s="75"/>
      <c r="BU863" s="75"/>
      <c r="BV863" s="75"/>
      <c r="BW863" s="75"/>
      <c r="BX863" s="75"/>
      <c r="BY863" s="75"/>
      <c r="BZ863" s="75"/>
      <c r="CA863" s="75"/>
      <c r="CB863" s="75"/>
      <c r="CC863" s="75"/>
      <c r="CD863" s="75"/>
      <c r="CE863" s="75"/>
      <c r="CF863" s="75"/>
      <c r="CG863" s="75"/>
      <c r="CH863" s="75"/>
      <c r="CI863" s="75"/>
      <c r="CJ863" s="75"/>
      <c r="CK863" s="75"/>
      <c r="CL863" s="75"/>
      <c r="CM863" s="75"/>
      <c r="CN863" s="75"/>
      <c r="CO863" s="75"/>
      <c r="CP863" s="75"/>
      <c r="CQ863" s="75"/>
      <c r="CR863" s="75"/>
      <c r="CS863" s="75"/>
    </row>
    <row r="864" spans="1:97" s="8" customFormat="1" ht="12.75" customHeight="1">
      <c r="A864" s="16"/>
      <c r="B864" s="16"/>
      <c r="C864" s="16"/>
      <c r="D864" s="3"/>
      <c r="E864" s="90"/>
      <c r="F864" s="91"/>
      <c r="G864" s="91"/>
      <c r="H864" s="91"/>
      <c r="I864" s="91"/>
      <c r="J864" s="91"/>
      <c r="K864" s="91"/>
      <c r="L864" s="91"/>
      <c r="M864" s="91"/>
      <c r="N864" s="91"/>
      <c r="O864" s="91"/>
      <c r="P864" s="91"/>
      <c r="Q864" s="91"/>
      <c r="R864" s="91"/>
      <c r="S864" s="91"/>
      <c r="T864" s="91"/>
      <c r="U864" s="91"/>
      <c r="V864" s="91"/>
      <c r="W864" s="91"/>
      <c r="X864" s="91"/>
      <c r="Y864" s="91"/>
      <c r="Z864" s="91"/>
      <c r="AA864" s="91"/>
      <c r="AB864" s="100" t="s">
        <v>151</v>
      </c>
      <c r="AC864" s="1743">
        <v>16000</v>
      </c>
      <c r="AD864" s="1744"/>
      <c r="AE864" s="1744"/>
      <c r="AF864" s="1744"/>
      <c r="AG864" s="1744"/>
      <c r="AH864" s="1745"/>
      <c r="AI864" s="16"/>
      <c r="AJ864" s="16"/>
      <c r="AK864" s="16"/>
      <c r="AL864" s="16"/>
      <c r="AM864" s="66"/>
      <c r="AN864" s="66"/>
      <c r="AO864" s="30"/>
      <c r="AP864" s="30"/>
      <c r="AQ864" s="30"/>
      <c r="AR864" s="30"/>
      <c r="AS864" s="30"/>
      <c r="AT864" s="70"/>
      <c r="AU864" s="70"/>
      <c r="AV864" s="70"/>
      <c r="AW864" s="70"/>
      <c r="AX864" s="70"/>
      <c r="AY864" s="70"/>
      <c r="AZ864" s="70"/>
      <c r="BA864" s="70"/>
      <c r="BB864" s="47" t="s">
        <v>470</v>
      </c>
      <c r="BC864" s="866">
        <v>278397</v>
      </c>
      <c r="BD864" s="866">
        <v>320989</v>
      </c>
      <c r="BE864" s="866">
        <v>387200</v>
      </c>
      <c r="BF864" s="866">
        <v>495616</v>
      </c>
      <c r="BG864" s="866">
        <v>552147</v>
      </c>
      <c r="BH864" s="70"/>
      <c r="BI864" s="47" t="s">
        <v>470</v>
      </c>
      <c r="BJ864" s="866">
        <v>278397</v>
      </c>
      <c r="BK864" s="866">
        <v>320989</v>
      </c>
      <c r="BL864" s="866">
        <v>387200</v>
      </c>
      <c r="BM864" s="866">
        <v>495616</v>
      </c>
      <c r="BN864" s="866">
        <v>552147</v>
      </c>
      <c r="BO864" s="75"/>
      <c r="BP864" s="75"/>
      <c r="BQ864" s="75"/>
      <c r="BR864" s="75"/>
      <c r="BS864" s="75"/>
      <c r="BT864" s="75"/>
      <c r="BU864" s="75"/>
      <c r="BV864" s="75"/>
      <c r="BW864" s="75"/>
      <c r="BX864" s="75"/>
      <c r="BY864" s="75"/>
      <c r="BZ864" s="75"/>
      <c r="CA864" s="75"/>
      <c r="CB864" s="75"/>
      <c r="CC864" s="75"/>
      <c r="CD864" s="75"/>
      <c r="CE864" s="75"/>
      <c r="CF864" s="75"/>
      <c r="CG864" s="75"/>
      <c r="CH864" s="75"/>
      <c r="CI864" s="75"/>
      <c r="CJ864" s="75"/>
      <c r="CK864" s="75"/>
      <c r="CL864" s="75"/>
      <c r="CM864" s="75"/>
      <c r="CN864" s="75"/>
      <c r="CO864" s="75"/>
      <c r="CP864" s="75"/>
      <c r="CQ864" s="75"/>
      <c r="CR864" s="75"/>
      <c r="CS864" s="75"/>
    </row>
    <row r="865" spans="1:97" s="8" customFormat="1" ht="12.75" customHeight="1">
      <c r="A865" s="16"/>
      <c r="B865" s="16"/>
      <c r="C865" s="16"/>
      <c r="D865" s="3"/>
      <c r="E865" s="90"/>
      <c r="F865" s="91"/>
      <c r="G865" s="91"/>
      <c r="H865" s="91"/>
      <c r="I865" s="91"/>
      <c r="J865" s="91"/>
      <c r="K865" s="91"/>
      <c r="L865" s="91"/>
      <c r="M865" s="91"/>
      <c r="N865" s="91"/>
      <c r="O865" s="91"/>
      <c r="P865" s="91"/>
      <c r="Q865" s="91"/>
      <c r="R865" s="91"/>
      <c r="S865" s="91"/>
      <c r="T865" s="91"/>
      <c r="U865" s="91"/>
      <c r="V865" s="91"/>
      <c r="W865" s="91"/>
      <c r="X865" s="91"/>
      <c r="Y865" s="91"/>
      <c r="Z865" s="91"/>
      <c r="AA865" s="91"/>
      <c r="AB865" s="100" t="s">
        <v>773</v>
      </c>
      <c r="AC865" s="1743">
        <v>24600</v>
      </c>
      <c r="AD865" s="1744"/>
      <c r="AE865" s="1744"/>
      <c r="AF865" s="1744"/>
      <c r="AG865" s="1744"/>
      <c r="AH865" s="1745"/>
      <c r="AI865" s="16"/>
      <c r="AJ865" s="16"/>
      <c r="AK865" s="16"/>
      <c r="AL865" s="16"/>
      <c r="AM865" s="66"/>
      <c r="AN865" s="66"/>
      <c r="AO865" s="30"/>
      <c r="AP865" s="30"/>
      <c r="AQ865" s="30"/>
      <c r="AR865" s="30"/>
      <c r="AS865" s="30"/>
      <c r="AT865" s="70"/>
      <c r="AU865" s="70"/>
      <c r="AV865" s="70"/>
      <c r="AW865" s="70"/>
      <c r="AX865" s="70"/>
      <c r="AY865" s="70"/>
      <c r="AZ865" s="70"/>
      <c r="BA865" s="70"/>
      <c r="BB865" s="47" t="s">
        <v>642</v>
      </c>
      <c r="BC865" s="867">
        <v>262291</v>
      </c>
      <c r="BD865" s="867">
        <v>302419</v>
      </c>
      <c r="BE865" s="867">
        <v>364800</v>
      </c>
      <c r="BF865" s="867">
        <v>466944</v>
      </c>
      <c r="BG865" s="867">
        <v>520205</v>
      </c>
      <c r="BH865" s="70"/>
      <c r="BI865" s="47" t="s">
        <v>642</v>
      </c>
      <c r="BJ865" s="867">
        <v>262291</v>
      </c>
      <c r="BK865" s="867">
        <v>302419</v>
      </c>
      <c r="BL865" s="867">
        <v>364800</v>
      </c>
      <c r="BM865" s="867">
        <v>466944</v>
      </c>
      <c r="BN865" s="867">
        <v>520205</v>
      </c>
      <c r="BO865" s="75"/>
      <c r="BP865" s="75"/>
      <c r="BQ865" s="75"/>
      <c r="BR865" s="75"/>
      <c r="BS865" s="75"/>
      <c r="BT865" s="75"/>
      <c r="BU865" s="75"/>
      <c r="BV865" s="75"/>
      <c r="BW865" s="75"/>
      <c r="BX865" s="75"/>
      <c r="BY865" s="75"/>
      <c r="BZ865" s="75"/>
      <c r="CA865" s="75"/>
      <c r="CB865" s="75"/>
      <c r="CC865" s="75"/>
      <c r="CD865" s="75"/>
      <c r="CE865" s="75"/>
      <c r="CF865" s="75"/>
      <c r="CG865" s="75"/>
      <c r="CH865" s="75"/>
      <c r="CI865" s="75"/>
      <c r="CJ865" s="75"/>
      <c r="CK865" s="75"/>
      <c r="CL865" s="75"/>
      <c r="CM865" s="75"/>
      <c r="CN865" s="75"/>
      <c r="CO865" s="75"/>
      <c r="CP865" s="75"/>
      <c r="CQ865" s="75"/>
      <c r="CR865" s="75"/>
      <c r="CS865" s="75"/>
    </row>
    <row r="866" spans="1:97" s="65" customFormat="1" ht="12.75" customHeight="1">
      <c r="A866" s="16"/>
      <c r="B866" s="16"/>
      <c r="C866" s="16"/>
      <c r="D866" s="3"/>
      <c r="E866" s="90"/>
      <c r="F866" s="91"/>
      <c r="G866" s="91"/>
      <c r="H866" s="91"/>
      <c r="I866" s="91"/>
      <c r="J866" s="91"/>
      <c r="K866" s="91"/>
      <c r="L866" s="91"/>
      <c r="M866" s="91"/>
      <c r="N866" s="91"/>
      <c r="O866" s="91"/>
      <c r="P866" s="91"/>
      <c r="Q866" s="91"/>
      <c r="R866" s="91"/>
      <c r="S866" s="91"/>
      <c r="T866" s="91"/>
      <c r="U866" s="91"/>
      <c r="V866" s="91"/>
      <c r="W866" s="91"/>
      <c r="X866" s="91"/>
      <c r="Y866" s="91"/>
      <c r="Z866" s="91"/>
      <c r="AA866" s="91"/>
      <c r="AB866" s="1383" t="s">
        <v>2224</v>
      </c>
      <c r="AC866" s="1743">
        <v>14699</v>
      </c>
      <c r="AD866" s="1744"/>
      <c r="AE866" s="1744"/>
      <c r="AF866" s="1744"/>
      <c r="AG866" s="1744"/>
      <c r="AH866" s="1745"/>
      <c r="AI866" s="16"/>
      <c r="AJ866" s="16"/>
      <c r="AK866" s="16"/>
      <c r="AL866" s="16"/>
      <c r="AM866" s="66"/>
      <c r="AN866" s="66"/>
      <c r="AO866" s="30"/>
      <c r="AP866" s="30"/>
      <c r="AQ866" s="30"/>
      <c r="AR866" s="30"/>
      <c r="AS866" s="30"/>
      <c r="AT866" s="70"/>
      <c r="AU866" s="70"/>
      <c r="AV866" s="70"/>
      <c r="AW866" s="70"/>
      <c r="AX866" s="70"/>
      <c r="AY866" s="70"/>
      <c r="AZ866" s="70"/>
      <c r="BA866" s="70"/>
      <c r="BB866" s="47" t="s">
        <v>643</v>
      </c>
      <c r="BC866" s="866">
        <v>228930</v>
      </c>
      <c r="BD866" s="866">
        <v>263954</v>
      </c>
      <c r="BE866" s="866">
        <v>318400</v>
      </c>
      <c r="BF866" s="866">
        <v>407552</v>
      </c>
      <c r="BG866" s="866">
        <v>454038</v>
      </c>
      <c r="BH866" s="70"/>
      <c r="BI866" s="47" t="s">
        <v>643</v>
      </c>
      <c r="BJ866" s="866">
        <v>228930</v>
      </c>
      <c r="BK866" s="866">
        <v>263954</v>
      </c>
      <c r="BL866" s="866">
        <v>318400</v>
      </c>
      <c r="BM866" s="866">
        <v>407552</v>
      </c>
      <c r="BN866" s="866">
        <v>454038</v>
      </c>
      <c r="BO866" s="121"/>
      <c r="BP866" s="121"/>
      <c r="BQ866" s="121"/>
      <c r="BR866" s="121"/>
      <c r="BS866" s="121"/>
      <c r="BT866" s="121"/>
      <c r="BU866" s="121"/>
      <c r="BV866" s="121"/>
      <c r="BW866" s="121"/>
      <c r="BX866" s="121"/>
      <c r="BY866" s="121"/>
      <c r="BZ866" s="121"/>
      <c r="CA866" s="121"/>
      <c r="CB866" s="121"/>
      <c r="CC866" s="121"/>
      <c r="CD866" s="121"/>
      <c r="CE866" s="121"/>
      <c r="CF866" s="121"/>
      <c r="CG866" s="121"/>
      <c r="CH866" s="121"/>
      <c r="CI866" s="121"/>
      <c r="CJ866" s="121"/>
      <c r="CK866" s="121"/>
      <c r="CL866" s="121"/>
      <c r="CM866" s="121"/>
      <c r="CN866" s="121"/>
      <c r="CO866" s="121"/>
      <c r="CP866" s="121"/>
      <c r="CQ866" s="121"/>
      <c r="CR866" s="121"/>
      <c r="CS866" s="121"/>
    </row>
    <row r="867" spans="1:97" s="65" customFormat="1" ht="13.8">
      <c r="A867" s="16"/>
      <c r="B867" s="16"/>
      <c r="C867" s="16"/>
      <c r="D867" s="3"/>
      <c r="E867" s="90"/>
      <c r="F867" s="91"/>
      <c r="G867" s="91"/>
      <c r="H867" s="91"/>
      <c r="I867" s="91"/>
      <c r="J867" s="91"/>
      <c r="K867" s="91"/>
      <c r="L867" s="91"/>
      <c r="M867" s="91"/>
      <c r="N867" s="91"/>
      <c r="O867" s="91"/>
      <c r="P867" s="91"/>
      <c r="Q867" s="91"/>
      <c r="R867" s="91"/>
      <c r="S867" s="91"/>
      <c r="T867" s="91"/>
      <c r="U867" s="91"/>
      <c r="V867" s="91"/>
      <c r="W867" s="91"/>
      <c r="X867" s="91"/>
      <c r="Y867" s="91"/>
      <c r="Z867" s="91"/>
      <c r="AA867" s="91"/>
      <c r="AB867" s="1383" t="s">
        <v>774</v>
      </c>
      <c r="AC867" s="1743">
        <v>5000</v>
      </c>
      <c r="AD867" s="1744"/>
      <c r="AE867" s="1744"/>
      <c r="AF867" s="1744"/>
      <c r="AG867" s="1744"/>
      <c r="AH867" s="1745"/>
      <c r="AI867" s="16"/>
      <c r="AJ867" s="16"/>
      <c r="AK867" s="16"/>
      <c r="AL867" s="16"/>
      <c r="AM867" s="66"/>
      <c r="AN867" s="66"/>
      <c r="AO867" s="30"/>
      <c r="AP867" s="30"/>
      <c r="AQ867" s="30"/>
      <c r="AR867" s="30"/>
      <c r="AS867" s="30"/>
      <c r="AT867" s="70"/>
      <c r="AU867" s="70"/>
      <c r="AV867" s="70"/>
      <c r="AW867" s="70"/>
      <c r="AX867" s="70"/>
      <c r="AY867" s="70"/>
      <c r="AZ867" s="70"/>
      <c r="BA867" s="70"/>
      <c r="BB867" s="47" t="s">
        <v>644</v>
      </c>
      <c r="BC867" s="867">
        <v>260566</v>
      </c>
      <c r="BD867" s="867">
        <v>300430</v>
      </c>
      <c r="BE867" s="867">
        <v>362400</v>
      </c>
      <c r="BF867" s="867">
        <v>463872</v>
      </c>
      <c r="BG867" s="867">
        <v>516782</v>
      </c>
      <c r="BH867" s="70"/>
      <c r="BI867" s="47" t="s">
        <v>644</v>
      </c>
      <c r="BJ867" s="867">
        <v>260566</v>
      </c>
      <c r="BK867" s="867">
        <v>300430</v>
      </c>
      <c r="BL867" s="867">
        <v>362400</v>
      </c>
      <c r="BM867" s="867">
        <v>463872</v>
      </c>
      <c r="BN867" s="867">
        <v>516782</v>
      </c>
      <c r="BO867" s="121"/>
      <c r="BP867" s="121"/>
      <c r="BQ867" s="121"/>
      <c r="BR867" s="121"/>
      <c r="BS867" s="121"/>
      <c r="BT867" s="121"/>
      <c r="BU867" s="121"/>
      <c r="BV867" s="121"/>
      <c r="BW867" s="121"/>
      <c r="BX867" s="121"/>
      <c r="BY867" s="121"/>
      <c r="BZ867" s="121"/>
      <c r="CA867" s="121"/>
      <c r="CB867" s="121"/>
      <c r="CC867" s="121"/>
      <c r="CD867" s="121"/>
      <c r="CE867" s="121"/>
      <c r="CF867" s="121"/>
      <c r="CG867" s="121"/>
      <c r="CH867" s="121"/>
      <c r="CI867" s="121"/>
      <c r="CJ867" s="121"/>
      <c r="CK867" s="121"/>
      <c r="CL867" s="121"/>
      <c r="CM867" s="121"/>
      <c r="CN867" s="121"/>
      <c r="CO867" s="121"/>
      <c r="CP867" s="121"/>
      <c r="CQ867" s="121"/>
      <c r="CR867" s="121"/>
      <c r="CS867" s="121"/>
    </row>
    <row r="868" spans="1:97" s="65" customFormat="1" ht="12.75" customHeight="1">
      <c r="A868" s="16"/>
      <c r="B868" s="16"/>
      <c r="C868" s="16"/>
      <c r="D868" s="3"/>
      <c r="E868" s="90"/>
      <c r="F868" s="91"/>
      <c r="G868" s="91"/>
      <c r="H868" s="91"/>
      <c r="I868" s="91"/>
      <c r="J868" s="91"/>
      <c r="K868" s="91"/>
      <c r="L868" s="91"/>
      <c r="M868" s="91"/>
      <c r="N868" s="91"/>
      <c r="O868" s="91"/>
      <c r="P868" s="91"/>
      <c r="Q868" s="91"/>
      <c r="R868" s="91"/>
      <c r="S868" s="91"/>
      <c r="T868" s="91"/>
      <c r="U868" s="91"/>
      <c r="V868" s="91"/>
      <c r="W868" s="91"/>
      <c r="X868" s="91"/>
      <c r="Y868" s="91"/>
      <c r="Z868" s="91"/>
      <c r="AA868" s="91"/>
      <c r="AB868" s="1383" t="s">
        <v>2223</v>
      </c>
      <c r="AC868" s="1773"/>
      <c r="AD868" s="1774"/>
      <c r="AE868" s="1774"/>
      <c r="AF868" s="1774"/>
      <c r="AG868" s="1774"/>
      <c r="AH868" s="1774"/>
      <c r="AI868" s="16"/>
      <c r="AJ868" s="16"/>
      <c r="AK868" s="16"/>
      <c r="AL868" s="16"/>
      <c r="AM868" s="66"/>
      <c r="AN868" s="66"/>
      <c r="AO868" s="30"/>
      <c r="AP868" s="30"/>
      <c r="AQ868" s="30"/>
      <c r="AR868" s="30"/>
      <c r="AS868" s="30"/>
      <c r="AT868" s="70"/>
      <c r="AU868" s="70"/>
      <c r="AV868" s="70"/>
      <c r="AW868" s="70"/>
      <c r="AX868" s="70"/>
      <c r="AY868" s="70"/>
      <c r="AZ868" s="70"/>
      <c r="BA868" s="70"/>
      <c r="BB868" s="47" t="s">
        <v>825</v>
      </c>
      <c r="BC868" s="866">
        <v>511928</v>
      </c>
      <c r="BD868" s="866">
        <v>590248</v>
      </c>
      <c r="BE868" s="866">
        <v>712000</v>
      </c>
      <c r="BF868" s="866">
        <v>911360</v>
      </c>
      <c r="BG868" s="866">
        <v>1015312</v>
      </c>
      <c r="BH868" s="70"/>
      <c r="BI868" s="47" t="s">
        <v>825</v>
      </c>
      <c r="BJ868" s="866">
        <v>511928</v>
      </c>
      <c r="BK868" s="866">
        <v>590248</v>
      </c>
      <c r="BL868" s="866">
        <v>712000</v>
      </c>
      <c r="BM868" s="866">
        <v>911360</v>
      </c>
      <c r="BN868" s="866">
        <v>1015312</v>
      </c>
      <c r="BO868" s="121"/>
      <c r="BP868" s="121"/>
      <c r="BQ868" s="121"/>
      <c r="BR868" s="121"/>
      <c r="BS868" s="121"/>
      <c r="BT868" s="121"/>
      <c r="BU868" s="121"/>
      <c r="BV868" s="121"/>
      <c r="BW868" s="121"/>
      <c r="BX868" s="121"/>
      <c r="BY868" s="121"/>
      <c r="BZ868" s="121"/>
      <c r="CA868" s="121"/>
      <c r="CB868" s="121"/>
      <c r="CC868" s="121"/>
      <c r="CD868" s="121"/>
      <c r="CE868" s="121"/>
      <c r="CF868" s="121"/>
      <c r="CG868" s="121"/>
      <c r="CH868" s="121"/>
      <c r="CI868" s="121"/>
      <c r="CJ868" s="121"/>
      <c r="CK868" s="121"/>
      <c r="CL868" s="121"/>
      <c r="CM868" s="121"/>
      <c r="CN868" s="121"/>
      <c r="CO868" s="121"/>
      <c r="CP868" s="121"/>
      <c r="CQ868" s="121"/>
      <c r="CR868" s="121"/>
      <c r="CS868" s="121"/>
    </row>
    <row r="869" spans="1:97" s="65" customFormat="1" ht="13.8">
      <c r="A869" s="16"/>
      <c r="B869" s="16"/>
      <c r="C869" s="16"/>
      <c r="D869" s="3"/>
      <c r="E869" s="1981" t="s">
        <v>1341</v>
      </c>
      <c r="F869" s="1982"/>
      <c r="G869" s="1982"/>
      <c r="H869" s="1982"/>
      <c r="I869" s="1982"/>
      <c r="J869" s="1982"/>
      <c r="K869" s="1982"/>
      <c r="L869" s="1982"/>
      <c r="M869" s="1982"/>
      <c r="N869" s="1982"/>
      <c r="O869" s="1982"/>
      <c r="P869" s="1982"/>
      <c r="Q869" s="1982"/>
      <c r="R869" s="1982"/>
      <c r="S869" s="1982"/>
      <c r="T869" s="1982"/>
      <c r="U869" s="1982"/>
      <c r="V869" s="1982"/>
      <c r="W869" s="1982"/>
      <c r="X869" s="1982"/>
      <c r="Y869" s="1982"/>
      <c r="Z869" s="1982"/>
      <c r="AA869" s="1982"/>
      <c r="AB869" s="1983"/>
      <c r="AC869" s="1774"/>
      <c r="AD869" s="1774"/>
      <c r="AE869" s="1774"/>
      <c r="AF869" s="1774"/>
      <c r="AG869" s="1774"/>
      <c r="AH869" s="1774"/>
      <c r="AI869" s="16"/>
      <c r="AJ869" s="16"/>
      <c r="AK869" s="16"/>
      <c r="AL869" s="16"/>
      <c r="AM869" s="66"/>
      <c r="AN869" s="66"/>
      <c r="AO869" s="30"/>
      <c r="AP869" s="30"/>
      <c r="AQ869" s="30"/>
      <c r="AR869" s="30"/>
      <c r="AS869" s="30"/>
      <c r="AT869" s="70"/>
      <c r="AU869" s="70"/>
      <c r="AV869" s="70"/>
      <c r="AW869" s="70"/>
      <c r="AX869" s="70"/>
      <c r="AY869" s="70"/>
      <c r="AZ869" s="70"/>
      <c r="BA869" s="70"/>
      <c r="BB869" s="47" t="s">
        <v>826</v>
      </c>
      <c r="BC869" s="867">
        <v>238133</v>
      </c>
      <c r="BD869" s="867">
        <v>274565</v>
      </c>
      <c r="BE869" s="867">
        <v>331200</v>
      </c>
      <c r="BF869" s="867">
        <v>423936</v>
      </c>
      <c r="BG869" s="867">
        <v>472291</v>
      </c>
      <c r="BH869" s="70"/>
      <c r="BI869" s="47" t="s">
        <v>826</v>
      </c>
      <c r="BJ869" s="867">
        <v>238133</v>
      </c>
      <c r="BK869" s="867">
        <v>274565</v>
      </c>
      <c r="BL869" s="867">
        <v>331200</v>
      </c>
      <c r="BM869" s="867">
        <v>423936</v>
      </c>
      <c r="BN869" s="867">
        <v>472291</v>
      </c>
      <c r="BO869" s="121"/>
      <c r="BP869" s="121"/>
      <c r="BQ869" s="121"/>
      <c r="BR869" s="121"/>
      <c r="BS869" s="121"/>
      <c r="BT869" s="121"/>
      <c r="BU869" s="121"/>
      <c r="BV869" s="121"/>
      <c r="BW869" s="121"/>
      <c r="BX869" s="121"/>
      <c r="BY869" s="121"/>
      <c r="BZ869" s="121"/>
      <c r="CA869" s="121"/>
      <c r="CB869" s="121"/>
      <c r="CC869" s="121"/>
      <c r="CD869" s="121"/>
      <c r="CE869" s="121"/>
      <c r="CF869" s="121"/>
      <c r="CG869" s="121"/>
      <c r="CH869" s="121"/>
      <c r="CI869" s="121"/>
      <c r="CJ869" s="121"/>
      <c r="CK869" s="121"/>
      <c r="CL869" s="121"/>
      <c r="CM869" s="121"/>
      <c r="CN869" s="121"/>
      <c r="CO869" s="121"/>
      <c r="CP869" s="121"/>
      <c r="CQ869" s="121"/>
      <c r="CR869" s="121"/>
      <c r="CS869" s="121"/>
    </row>
    <row r="870" spans="1:97" s="65" customFormat="1" ht="12.75" customHeight="1">
      <c r="A870" s="16"/>
      <c r="B870" s="16"/>
      <c r="C870" s="16"/>
      <c r="D870" s="3"/>
      <c r="E870" s="1981" t="s">
        <v>1341</v>
      </c>
      <c r="F870" s="1982"/>
      <c r="G870" s="1982"/>
      <c r="H870" s="1982"/>
      <c r="I870" s="1982"/>
      <c r="J870" s="1982"/>
      <c r="K870" s="1982"/>
      <c r="L870" s="1982"/>
      <c r="M870" s="1982"/>
      <c r="N870" s="1982"/>
      <c r="O870" s="1982"/>
      <c r="P870" s="1982"/>
      <c r="Q870" s="1982"/>
      <c r="R870" s="1982"/>
      <c r="S870" s="1982"/>
      <c r="T870" s="1982"/>
      <c r="U870" s="1982"/>
      <c r="V870" s="1982"/>
      <c r="W870" s="1982"/>
      <c r="X870" s="1982"/>
      <c r="Y870" s="1982"/>
      <c r="Z870" s="1982"/>
      <c r="AA870" s="1982"/>
      <c r="AB870" s="1983"/>
      <c r="AC870" s="1774"/>
      <c r="AD870" s="1774"/>
      <c r="AE870" s="1774"/>
      <c r="AF870" s="1774"/>
      <c r="AG870" s="1774"/>
      <c r="AH870" s="1774"/>
      <c r="AI870" s="16"/>
      <c r="AJ870" s="16"/>
      <c r="AK870" s="16"/>
      <c r="AL870" s="16"/>
      <c r="AM870" s="66"/>
      <c r="AN870" s="66"/>
      <c r="AO870" s="30"/>
      <c r="AP870" s="30"/>
      <c r="AQ870" s="30"/>
      <c r="AR870" s="30"/>
      <c r="AS870" s="30"/>
      <c r="AT870" s="70"/>
      <c r="AU870" s="70"/>
      <c r="AV870" s="70"/>
      <c r="AW870" s="70"/>
      <c r="AX870" s="70"/>
      <c r="AY870" s="70"/>
      <c r="AZ870" s="70"/>
      <c r="BA870" s="70"/>
      <c r="BB870" s="47" t="s">
        <v>827</v>
      </c>
      <c r="BC870" s="866">
        <v>303706</v>
      </c>
      <c r="BD870" s="866">
        <v>350170</v>
      </c>
      <c r="BE870" s="866">
        <v>422400</v>
      </c>
      <c r="BF870" s="866">
        <v>540672</v>
      </c>
      <c r="BG870" s="866">
        <v>602342</v>
      </c>
      <c r="BH870" s="70"/>
      <c r="BI870" s="47" t="s">
        <v>827</v>
      </c>
      <c r="BJ870" s="866">
        <v>303706</v>
      </c>
      <c r="BK870" s="866">
        <v>350170</v>
      </c>
      <c r="BL870" s="866">
        <v>422400</v>
      </c>
      <c r="BM870" s="866">
        <v>540672</v>
      </c>
      <c r="BN870" s="866">
        <v>602342</v>
      </c>
      <c r="BO870" s="121"/>
      <c r="BP870" s="121"/>
      <c r="BQ870" s="121"/>
      <c r="BR870" s="121"/>
      <c r="BS870" s="121"/>
      <c r="BT870" s="121"/>
      <c r="BU870" s="121"/>
      <c r="BV870" s="121"/>
      <c r="BW870" s="121"/>
      <c r="BX870" s="121"/>
      <c r="BY870" s="121"/>
      <c r="BZ870" s="121"/>
      <c r="CA870" s="121"/>
      <c r="CB870" s="121"/>
      <c r="CC870" s="121"/>
      <c r="CD870" s="121"/>
      <c r="CE870" s="121"/>
      <c r="CF870" s="121"/>
      <c r="CG870" s="121"/>
      <c r="CH870" s="121"/>
      <c r="CI870" s="121"/>
      <c r="CJ870" s="121"/>
      <c r="CK870" s="121"/>
      <c r="CL870" s="121"/>
      <c r="CM870" s="121"/>
      <c r="CN870" s="121"/>
      <c r="CO870" s="121"/>
      <c r="CP870" s="121"/>
      <c r="CQ870" s="121"/>
      <c r="CR870" s="121"/>
      <c r="CS870" s="121"/>
    </row>
    <row r="871" spans="1:97" s="65" customFormat="1" ht="12.75" customHeight="1">
      <c r="A871" s="50"/>
      <c r="B871" s="16"/>
      <c r="C871" s="16"/>
      <c r="D871" s="3"/>
      <c r="E871" s="3"/>
      <c r="F871" s="3"/>
      <c r="G871" s="3"/>
      <c r="H871" s="3"/>
      <c r="I871" s="3"/>
      <c r="J871" s="3"/>
      <c r="K871" s="3"/>
      <c r="L871" s="3"/>
      <c r="M871" s="3"/>
      <c r="N871" s="3"/>
      <c r="O871" s="3"/>
      <c r="P871" s="3"/>
      <c r="Q871" s="3"/>
      <c r="R871" s="3"/>
      <c r="S871" s="3"/>
      <c r="T871" s="3"/>
      <c r="U871" s="3"/>
      <c r="V871" s="3"/>
      <c r="W871" s="3"/>
      <c r="X871" s="3"/>
      <c r="Y871" s="3"/>
      <c r="Z871" s="3"/>
      <c r="AA871" s="3"/>
      <c r="AB871" s="105"/>
      <c r="AC871" s="2016"/>
      <c r="AD871" s="2016"/>
      <c r="AE871" s="2016"/>
      <c r="AF871" s="2016"/>
      <c r="AG871" s="2016"/>
      <c r="AH871" s="2016"/>
      <c r="AI871" s="16"/>
      <c r="AJ871" s="16"/>
      <c r="AK871" s="16"/>
      <c r="AL871" s="16"/>
      <c r="AM871" s="132"/>
      <c r="AN871" s="66"/>
      <c r="AO871" s="30"/>
      <c r="AP871" s="30"/>
      <c r="AQ871" s="30"/>
      <c r="AR871" s="30"/>
      <c r="AS871" s="30"/>
      <c r="AT871" s="70"/>
      <c r="AU871" s="70"/>
      <c r="AV871" s="70"/>
      <c r="AW871" s="70"/>
      <c r="AX871" s="70"/>
      <c r="AY871" s="70"/>
      <c r="AZ871" s="70"/>
      <c r="BA871" s="70"/>
      <c r="BB871" s="47" t="s">
        <v>828</v>
      </c>
      <c r="BC871" s="865">
        <v>440028</v>
      </c>
      <c r="BD871" s="865">
        <v>507348</v>
      </c>
      <c r="BE871" s="867">
        <v>612000</v>
      </c>
      <c r="BF871" s="865">
        <v>783360</v>
      </c>
      <c r="BG871" s="865">
        <v>872712</v>
      </c>
      <c r="BH871" s="70"/>
      <c r="BI871" s="47" t="s">
        <v>828</v>
      </c>
      <c r="BJ871" s="865">
        <v>440028</v>
      </c>
      <c r="BK871" s="865">
        <v>507348</v>
      </c>
      <c r="BL871" s="865">
        <v>612000</v>
      </c>
      <c r="BM871" s="865">
        <v>783360</v>
      </c>
      <c r="BN871" s="865">
        <v>872712</v>
      </c>
      <c r="BO871" s="121"/>
      <c r="BP871" s="121"/>
      <c r="BQ871" s="121"/>
      <c r="BR871" s="121"/>
      <c r="BS871" s="121"/>
      <c r="BT871" s="121"/>
      <c r="BU871" s="121"/>
      <c r="BV871" s="121"/>
      <c r="BW871" s="121"/>
      <c r="BX871" s="121"/>
      <c r="BY871" s="121"/>
      <c r="BZ871" s="121"/>
      <c r="CA871" s="121"/>
      <c r="CB871" s="121"/>
      <c r="CC871" s="121"/>
      <c r="CD871" s="121"/>
      <c r="CE871" s="121"/>
      <c r="CF871" s="121"/>
      <c r="CG871" s="121"/>
      <c r="CH871" s="121"/>
      <c r="CI871" s="121"/>
      <c r="CJ871" s="121"/>
      <c r="CK871" s="121"/>
      <c r="CL871" s="121"/>
      <c r="CM871" s="121"/>
      <c r="CN871" s="121"/>
      <c r="CO871" s="121"/>
      <c r="CP871" s="121"/>
      <c r="CQ871" s="121"/>
      <c r="CR871" s="121"/>
      <c r="CS871" s="121"/>
    </row>
    <row r="872" spans="1:97" s="65" customFormat="1" ht="12.75" customHeight="1">
      <c r="A872" s="63" t="s">
        <v>169</v>
      </c>
      <c r="B872" s="50"/>
      <c r="C872" s="63" t="s">
        <v>404</v>
      </c>
      <c r="D872" s="16"/>
      <c r="E872" s="16"/>
      <c r="F872" s="16"/>
      <c r="G872" s="16"/>
      <c r="H872" s="16"/>
      <c r="I872" s="16"/>
      <c r="J872" s="16"/>
      <c r="K872" s="16"/>
      <c r="L872" s="16"/>
      <c r="M872" s="16"/>
      <c r="N872" s="16"/>
      <c r="O872" s="16"/>
      <c r="P872" s="16"/>
      <c r="Q872" s="16"/>
      <c r="R872" s="16"/>
      <c r="S872" s="16"/>
      <c r="T872" s="16"/>
      <c r="U872" s="16"/>
      <c r="V872" s="16"/>
      <c r="W872" s="16"/>
      <c r="X872" s="21"/>
      <c r="Y872" s="21"/>
      <c r="Z872" s="21"/>
      <c r="AA872" s="21"/>
      <c r="AB872" s="21"/>
      <c r="AC872" s="21"/>
      <c r="AD872" s="21"/>
      <c r="AE872" s="16"/>
      <c r="AF872" s="16"/>
      <c r="AG872" s="16"/>
      <c r="AH872" s="16"/>
      <c r="AI872" s="16"/>
      <c r="AJ872" s="16"/>
      <c r="AK872" s="50"/>
      <c r="AL872" s="16"/>
      <c r="AM872" s="66"/>
      <c r="AN872" s="2110"/>
      <c r="AO872" s="2110"/>
      <c r="AP872" s="2101"/>
      <c r="AQ872" s="2101"/>
      <c r="AR872" s="2101"/>
      <c r="AS872" s="2101"/>
      <c r="AZ872" s="70"/>
      <c r="BA872" s="70"/>
      <c r="BB872" s="47" t="s">
        <v>829</v>
      </c>
      <c r="BC872" s="866">
        <v>303706</v>
      </c>
      <c r="BD872" s="866">
        <v>350170</v>
      </c>
      <c r="BE872" s="866">
        <v>422400</v>
      </c>
      <c r="BF872" s="866">
        <v>540672</v>
      </c>
      <c r="BG872" s="866">
        <v>602342</v>
      </c>
      <c r="BH872" s="70"/>
      <c r="BI872" s="47" t="s">
        <v>829</v>
      </c>
      <c r="BJ872" s="866">
        <v>303706</v>
      </c>
      <c r="BK872" s="866">
        <v>350170</v>
      </c>
      <c r="BL872" s="866">
        <v>422400</v>
      </c>
      <c r="BM872" s="866">
        <v>540672</v>
      </c>
      <c r="BN872" s="866">
        <v>602342</v>
      </c>
      <c r="BO872" s="121"/>
      <c r="BP872" s="121"/>
      <c r="BQ872" s="121"/>
      <c r="BR872" s="121"/>
      <c r="BS872" s="121"/>
      <c r="BT872" s="121"/>
      <c r="BU872" s="121"/>
      <c r="BV872" s="121"/>
      <c r="BW872" s="121"/>
      <c r="BX872" s="121"/>
      <c r="BY872" s="121"/>
      <c r="BZ872" s="121"/>
      <c r="CA872" s="121"/>
      <c r="CB872" s="121"/>
      <c r="CC872" s="121"/>
      <c r="CD872" s="121"/>
      <c r="CE872" s="121"/>
      <c r="CF872" s="121"/>
      <c r="CG872" s="121"/>
      <c r="CH872" s="121"/>
      <c r="CI872" s="121"/>
      <c r="CJ872" s="121"/>
      <c r="CK872" s="121"/>
      <c r="CL872" s="121"/>
      <c r="CM872" s="121"/>
      <c r="CN872" s="121"/>
      <c r="CO872" s="121"/>
      <c r="CP872" s="121"/>
      <c r="CQ872" s="121"/>
      <c r="CR872" s="121"/>
      <c r="CS872" s="121"/>
    </row>
    <row r="873" spans="1:97" s="65" customFormat="1" ht="12.75" customHeight="1">
      <c r="A873" s="16"/>
      <c r="B873" s="50"/>
      <c r="C873" s="16"/>
      <c r="D873" s="16"/>
      <c r="E873" s="16"/>
      <c r="F873" s="16"/>
      <c r="G873" s="16"/>
      <c r="H873" s="16"/>
      <c r="I873" s="16"/>
      <c r="J873" s="16"/>
      <c r="K873" s="16"/>
      <c r="L873" s="16"/>
      <c r="M873" s="16"/>
      <c r="N873" s="16"/>
      <c r="O873" s="16"/>
      <c r="P873" s="16"/>
      <c r="Q873" s="16"/>
      <c r="R873" s="16"/>
      <c r="S873" s="16"/>
      <c r="T873" s="16"/>
      <c r="U873" s="16"/>
      <c r="V873" s="16"/>
      <c r="W873" s="16"/>
      <c r="X873" s="21"/>
      <c r="Y873" s="21"/>
      <c r="Z873" s="21"/>
      <c r="AA873" s="21"/>
      <c r="AB873" s="21"/>
      <c r="AC873" s="21"/>
      <c r="AD873" s="21"/>
      <c r="AE873" s="16"/>
      <c r="AF873" s="16"/>
      <c r="AG873" s="486"/>
      <c r="AH873" s="486"/>
      <c r="AI873" s="486"/>
      <c r="AJ873" s="50"/>
      <c r="AK873" s="50"/>
      <c r="AL873" s="16"/>
      <c r="AM873" s="66"/>
      <c r="AN873" s="66"/>
      <c r="AO873" s="30"/>
      <c r="AP873" s="2101"/>
      <c r="AQ873" s="2101"/>
      <c r="AR873" s="2101"/>
      <c r="AS873" s="2101"/>
      <c r="AV873" s="2101"/>
      <c r="AW873" s="2101"/>
      <c r="AX873" s="2101"/>
      <c r="AY873" s="2101"/>
      <c r="AZ873" s="70"/>
      <c r="BA873" s="70"/>
      <c r="BB873" s="47" t="s">
        <v>830</v>
      </c>
      <c r="BC873" s="865">
        <v>440028</v>
      </c>
      <c r="BD873" s="865">
        <v>507348</v>
      </c>
      <c r="BE873" s="865">
        <v>612000</v>
      </c>
      <c r="BF873" s="865">
        <v>783360</v>
      </c>
      <c r="BG873" s="865">
        <v>872712</v>
      </c>
      <c r="BH873" s="70"/>
      <c r="BI873" s="47" t="s">
        <v>830</v>
      </c>
      <c r="BJ873" s="865">
        <v>440028</v>
      </c>
      <c r="BK873" s="865">
        <v>507348</v>
      </c>
      <c r="BL873" s="865">
        <v>612000</v>
      </c>
      <c r="BM873" s="865">
        <v>783360</v>
      </c>
      <c r="BN873" s="865">
        <v>872712</v>
      </c>
      <c r="BO873" s="121"/>
      <c r="BP873" s="121"/>
      <c r="BQ873" s="121"/>
      <c r="BR873" s="121"/>
      <c r="BS873" s="121"/>
      <c r="BT873" s="121"/>
      <c r="BU873" s="121"/>
      <c r="BV873" s="121"/>
      <c r="BW873" s="121"/>
      <c r="BX873" s="121"/>
      <c r="BY873" s="121"/>
      <c r="BZ873" s="121"/>
      <c r="CA873" s="121"/>
      <c r="CB873" s="121"/>
      <c r="CC873" s="121"/>
      <c r="CD873" s="121"/>
      <c r="CE873" s="121"/>
      <c r="CF873" s="121"/>
      <c r="CG873" s="121"/>
      <c r="CH873" s="121"/>
      <c r="CI873" s="121"/>
      <c r="CJ873" s="121"/>
      <c r="CK873" s="121"/>
      <c r="CL873" s="121"/>
      <c r="CM873" s="121"/>
      <c r="CN873" s="121"/>
      <c r="CO873" s="121"/>
      <c r="CP873" s="121"/>
      <c r="CQ873" s="121"/>
      <c r="CR873" s="121"/>
      <c r="CS873" s="121"/>
    </row>
    <row r="874" spans="1:97" s="65" customFormat="1" ht="12.75" customHeight="1">
      <c r="A874" s="16"/>
      <c r="B874" s="63"/>
      <c r="C874" s="16"/>
      <c r="D874" s="16"/>
      <c r="E874" s="16"/>
      <c r="F874" s="16"/>
      <c r="G874" s="16"/>
      <c r="H874" s="334" t="s">
        <v>183</v>
      </c>
      <c r="I874" s="91"/>
      <c r="J874" s="91"/>
      <c r="K874" s="91"/>
      <c r="L874" s="91"/>
      <c r="M874" s="91"/>
      <c r="N874" s="91"/>
      <c r="O874" s="91"/>
      <c r="P874" s="91"/>
      <c r="Q874" s="91"/>
      <c r="R874" s="91"/>
      <c r="S874" s="91"/>
      <c r="T874" s="91"/>
      <c r="U874" s="91"/>
      <c r="V874" s="91"/>
      <c r="W874" s="91"/>
      <c r="X874" s="91"/>
      <c r="Y874" s="92"/>
      <c r="Z874" s="1743"/>
      <c r="AA874" s="1744"/>
      <c r="AB874" s="1744"/>
      <c r="AC874" s="1744"/>
      <c r="AD874" s="1744"/>
      <c r="AE874" s="1745"/>
      <c r="AF874" s="16"/>
      <c r="AG874" s="16"/>
      <c r="AH874" s="16"/>
      <c r="AI874" s="16"/>
      <c r="AJ874" s="16"/>
      <c r="AK874" s="16"/>
      <c r="AL874" s="16"/>
      <c r="AM874" s="66"/>
      <c r="AN874" s="66"/>
      <c r="AO874" s="30"/>
      <c r="AP874" s="30"/>
      <c r="AQ874" s="30"/>
      <c r="AR874" s="30"/>
      <c r="AS874" s="30"/>
      <c r="AT874" s="70"/>
      <c r="AU874" s="70"/>
      <c r="AV874" s="70"/>
      <c r="AW874" s="70"/>
      <c r="AX874" s="70"/>
      <c r="AY874" s="70"/>
      <c r="AZ874" s="70"/>
      <c r="BA874" s="70"/>
      <c r="BB874" s="47" t="s">
        <v>724</v>
      </c>
      <c r="BC874" s="866">
        <v>303706</v>
      </c>
      <c r="BD874" s="866">
        <v>350170</v>
      </c>
      <c r="BE874" s="866">
        <v>422400</v>
      </c>
      <c r="BF874" s="866">
        <v>540672</v>
      </c>
      <c r="BG874" s="866">
        <v>602342</v>
      </c>
      <c r="BH874" s="70"/>
      <c r="BI874" s="47" t="s">
        <v>724</v>
      </c>
      <c r="BJ874" s="866">
        <v>303706</v>
      </c>
      <c r="BK874" s="866">
        <v>350170</v>
      </c>
      <c r="BL874" s="866">
        <v>422400</v>
      </c>
      <c r="BM874" s="866">
        <v>540672</v>
      </c>
      <c r="BN874" s="866">
        <v>602342</v>
      </c>
      <c r="BO874" s="121"/>
      <c r="BP874" s="121"/>
      <c r="BQ874" s="121"/>
      <c r="BR874" s="121"/>
      <c r="BS874" s="121"/>
      <c r="BT874" s="121"/>
      <c r="BU874" s="121"/>
      <c r="BV874" s="121"/>
      <c r="BW874" s="121"/>
      <c r="BX874" s="121"/>
      <c r="BY874" s="121"/>
      <c r="BZ874" s="121"/>
      <c r="CA874" s="121"/>
      <c r="CB874" s="121"/>
      <c r="CC874" s="121"/>
      <c r="CD874" s="121"/>
      <c r="CE874" s="121"/>
      <c r="CF874" s="121"/>
      <c r="CG874" s="121"/>
      <c r="CH874" s="121"/>
      <c r="CI874" s="121"/>
      <c r="CJ874" s="121"/>
      <c r="CK874" s="121"/>
      <c r="CL874" s="121"/>
      <c r="CM874" s="121"/>
      <c r="CN874" s="121"/>
      <c r="CO874" s="121"/>
      <c r="CP874" s="121"/>
      <c r="CQ874" s="121"/>
      <c r="CR874" s="121"/>
      <c r="CS874" s="121"/>
    </row>
    <row r="875" spans="1:97" s="65" customFormat="1" ht="13.8">
      <c r="A875" s="16"/>
      <c r="B875" s="16"/>
      <c r="C875" s="16"/>
      <c r="D875" s="16"/>
      <c r="E875" s="16"/>
      <c r="F875" s="16"/>
      <c r="G875" s="16"/>
      <c r="H875" s="334" t="s">
        <v>184</v>
      </c>
      <c r="I875" s="91"/>
      <c r="J875" s="91"/>
      <c r="K875" s="91"/>
      <c r="L875" s="91"/>
      <c r="M875" s="91"/>
      <c r="N875" s="91"/>
      <c r="O875" s="91"/>
      <c r="P875" s="91"/>
      <c r="Q875" s="91"/>
      <c r="R875" s="91"/>
      <c r="S875" s="91"/>
      <c r="T875" s="91"/>
      <c r="U875" s="91"/>
      <c r="V875" s="91"/>
      <c r="W875" s="91"/>
      <c r="X875" s="91"/>
      <c r="Y875" s="91"/>
      <c r="Z875" s="1743"/>
      <c r="AA875" s="1744"/>
      <c r="AB875" s="1744"/>
      <c r="AC875" s="1744"/>
      <c r="AD875" s="1744"/>
      <c r="AE875" s="1745"/>
      <c r="AF875" s="16"/>
      <c r="AG875" s="16"/>
      <c r="AH875" s="16"/>
      <c r="AI875" s="16"/>
      <c r="AJ875" s="16"/>
      <c r="AK875" s="16"/>
      <c r="AL875" s="16"/>
      <c r="AM875" s="66"/>
      <c r="AN875" s="66"/>
      <c r="AO875" s="30"/>
      <c r="AP875" s="30"/>
      <c r="AQ875" s="30"/>
      <c r="AR875" s="30"/>
      <c r="AS875" s="30"/>
      <c r="AT875" s="70"/>
      <c r="AU875" s="70"/>
      <c r="AV875" s="70"/>
      <c r="AW875" s="70"/>
      <c r="AX875" s="70"/>
      <c r="AY875" s="70"/>
      <c r="AZ875" s="70"/>
      <c r="BA875" s="70"/>
      <c r="BB875" s="47" t="s">
        <v>725</v>
      </c>
      <c r="BC875" s="867">
        <v>230655</v>
      </c>
      <c r="BD875" s="867">
        <v>265943</v>
      </c>
      <c r="BE875" s="867">
        <v>320800</v>
      </c>
      <c r="BF875" s="867">
        <v>410624</v>
      </c>
      <c r="BG875" s="867">
        <v>457461</v>
      </c>
      <c r="BH875" s="70"/>
      <c r="BI875" s="47" t="s">
        <v>725</v>
      </c>
      <c r="BJ875" s="867">
        <v>230655</v>
      </c>
      <c r="BK875" s="867">
        <v>265943</v>
      </c>
      <c r="BL875" s="867">
        <v>320800</v>
      </c>
      <c r="BM875" s="867">
        <v>410624</v>
      </c>
      <c r="BN875" s="867">
        <v>457461</v>
      </c>
      <c r="BO875" s="121"/>
      <c r="BP875" s="121"/>
      <c r="BQ875" s="121"/>
      <c r="BR875" s="121"/>
      <c r="BS875" s="121"/>
      <c r="BT875" s="121"/>
      <c r="BU875" s="121"/>
      <c r="BV875" s="121"/>
      <c r="BW875" s="121"/>
      <c r="BX875" s="121"/>
      <c r="BY875" s="121"/>
      <c r="BZ875" s="121"/>
      <c r="CA875" s="121"/>
      <c r="CB875" s="121"/>
      <c r="CC875" s="121"/>
      <c r="CD875" s="121"/>
      <c r="CE875" s="121"/>
      <c r="CF875" s="121"/>
      <c r="CG875" s="121"/>
      <c r="CH875" s="121"/>
      <c r="CI875" s="121"/>
      <c r="CJ875" s="121"/>
      <c r="CK875" s="121"/>
      <c r="CL875" s="121"/>
      <c r="CM875" s="121"/>
      <c r="CN875" s="121"/>
      <c r="CO875" s="121"/>
      <c r="CP875" s="121"/>
      <c r="CQ875" s="121"/>
      <c r="CR875" s="121"/>
      <c r="CS875" s="121"/>
    </row>
    <row r="876" spans="1:97" s="65" customFormat="1" ht="12.75" customHeight="1">
      <c r="A876" s="16"/>
      <c r="B876" s="16"/>
      <c r="C876" s="16"/>
      <c r="D876" s="16"/>
      <c r="E876" s="16"/>
      <c r="F876" s="16"/>
      <c r="G876" s="16"/>
      <c r="H876" s="334" t="s">
        <v>862</v>
      </c>
      <c r="I876" s="91"/>
      <c r="J876" s="91"/>
      <c r="K876" s="91"/>
      <c r="L876" s="91"/>
      <c r="M876" s="91"/>
      <c r="N876" s="91"/>
      <c r="O876" s="91"/>
      <c r="P876" s="91"/>
      <c r="Q876" s="91"/>
      <c r="R876" s="91"/>
      <c r="S876" s="91"/>
      <c r="T876" s="91"/>
      <c r="U876" s="91"/>
      <c r="V876" s="91"/>
      <c r="W876" s="91"/>
      <c r="X876" s="91"/>
      <c r="Y876" s="91"/>
      <c r="Z876" s="1743"/>
      <c r="AA876" s="1744"/>
      <c r="AB876" s="1744"/>
      <c r="AC876" s="1744"/>
      <c r="AD876" s="1744"/>
      <c r="AE876" s="1745"/>
      <c r="AF876" s="16"/>
      <c r="AG876" s="16"/>
      <c r="AH876" s="16"/>
      <c r="AI876" s="16"/>
      <c r="AJ876" s="16"/>
      <c r="AK876" s="16"/>
      <c r="AL876" s="16"/>
      <c r="AM876" s="66"/>
      <c r="AN876" s="66"/>
      <c r="AO876" s="30"/>
      <c r="AP876" s="30"/>
      <c r="AQ876" s="30"/>
      <c r="AR876" s="30"/>
      <c r="AS876" s="30"/>
      <c r="AT876" s="70"/>
      <c r="AU876" s="70"/>
      <c r="AV876" s="70"/>
      <c r="AW876" s="70"/>
      <c r="AX876" s="70"/>
      <c r="AY876" s="70"/>
      <c r="AZ876" s="70"/>
      <c r="BA876" s="70"/>
      <c r="BB876" s="47" t="s">
        <v>726</v>
      </c>
      <c r="BC876" s="866">
        <v>262291</v>
      </c>
      <c r="BD876" s="866">
        <v>302419</v>
      </c>
      <c r="BE876" s="866">
        <v>364800</v>
      </c>
      <c r="BF876" s="866">
        <v>466944</v>
      </c>
      <c r="BG876" s="866">
        <v>520205</v>
      </c>
      <c r="BH876" s="70"/>
      <c r="BI876" s="47" t="s">
        <v>726</v>
      </c>
      <c r="BJ876" s="866">
        <v>262291</v>
      </c>
      <c r="BK876" s="866">
        <v>302419</v>
      </c>
      <c r="BL876" s="866">
        <v>364800</v>
      </c>
      <c r="BM876" s="866">
        <v>466944</v>
      </c>
      <c r="BN876" s="866">
        <v>520205</v>
      </c>
      <c r="BO876" s="121"/>
      <c r="BP876" s="121"/>
      <c r="BQ876" s="121"/>
      <c r="BR876" s="121"/>
      <c r="BS876" s="121"/>
      <c r="BT876" s="121"/>
      <c r="BU876" s="121"/>
      <c r="BV876" s="121"/>
      <c r="BW876" s="121"/>
      <c r="BX876" s="121"/>
      <c r="BY876" s="121"/>
      <c r="BZ876" s="121"/>
      <c r="CA876" s="121"/>
      <c r="CB876" s="121"/>
      <c r="CC876" s="121"/>
      <c r="CD876" s="121"/>
      <c r="CE876" s="121"/>
      <c r="CF876" s="121"/>
      <c r="CG876" s="121"/>
      <c r="CH876" s="121"/>
      <c r="CI876" s="121"/>
      <c r="CJ876" s="121"/>
      <c r="CK876" s="121"/>
      <c r="CL876" s="121"/>
      <c r="CM876" s="121"/>
      <c r="CN876" s="121"/>
      <c r="CO876" s="121"/>
      <c r="CP876" s="121"/>
      <c r="CQ876" s="121"/>
      <c r="CR876" s="121"/>
      <c r="CS876" s="121"/>
    </row>
    <row r="877" spans="1:97" s="65" customFormat="1" ht="12.75" customHeight="1">
      <c r="A877" s="16"/>
      <c r="B877" s="16"/>
      <c r="C877" s="16"/>
      <c r="D877" s="16"/>
      <c r="E877" s="16"/>
      <c r="F877" s="35"/>
      <c r="G877" s="35"/>
      <c r="H877" s="90"/>
      <c r="I877" s="91"/>
      <c r="J877" s="91"/>
      <c r="K877" s="91"/>
      <c r="L877" s="91"/>
      <c r="M877" s="91"/>
      <c r="N877" s="91"/>
      <c r="O877" s="91"/>
      <c r="P877" s="91"/>
      <c r="Q877" s="91"/>
      <c r="R877" s="91"/>
      <c r="S877" s="91"/>
      <c r="T877" s="91"/>
      <c r="U877" s="91"/>
      <c r="V877" s="91"/>
      <c r="W877" s="91"/>
      <c r="X877" s="91"/>
      <c r="Y877" s="489" t="s">
        <v>863</v>
      </c>
      <c r="Z877" s="1749">
        <f>Z874-(Z875+Z876)</f>
        <v>0</v>
      </c>
      <c r="AA877" s="1750"/>
      <c r="AB877" s="1750"/>
      <c r="AC877" s="1750"/>
      <c r="AD877" s="1750"/>
      <c r="AE877" s="1751"/>
      <c r="AF877" s="16"/>
      <c r="AG877" s="16"/>
      <c r="AH877" s="16"/>
      <c r="AI877" s="16"/>
      <c r="AJ877" s="16"/>
      <c r="AK877" s="16"/>
      <c r="AL877" s="16"/>
      <c r="AM877" s="66"/>
      <c r="AN877" s="66"/>
      <c r="AO877" s="30"/>
      <c r="AP877" s="30"/>
      <c r="AQ877" s="30"/>
      <c r="AR877" s="30"/>
      <c r="AS877" s="30"/>
      <c r="AT877" s="70"/>
      <c r="AU877" s="70"/>
      <c r="AV877" s="70"/>
      <c r="AW877" s="70"/>
      <c r="AX877" s="70"/>
      <c r="AY877" s="70"/>
      <c r="AZ877" s="70"/>
      <c r="BA877" s="70"/>
      <c r="BB877" s="47" t="s">
        <v>727</v>
      </c>
      <c r="BC877" s="867">
        <v>262291</v>
      </c>
      <c r="BD877" s="867">
        <v>302419</v>
      </c>
      <c r="BE877" s="867">
        <v>364800</v>
      </c>
      <c r="BF877" s="867">
        <v>466944</v>
      </c>
      <c r="BG877" s="867">
        <v>520205</v>
      </c>
      <c r="BH877" s="70"/>
      <c r="BI877" s="47" t="s">
        <v>727</v>
      </c>
      <c r="BJ877" s="867">
        <v>262291</v>
      </c>
      <c r="BK877" s="867">
        <v>302419</v>
      </c>
      <c r="BL877" s="867">
        <v>364800</v>
      </c>
      <c r="BM877" s="867">
        <v>466944</v>
      </c>
      <c r="BN877" s="867">
        <v>520205</v>
      </c>
      <c r="BO877" s="121"/>
      <c r="BP877" s="121"/>
      <c r="BQ877" s="121"/>
      <c r="BR877" s="121"/>
      <c r="BS877" s="121"/>
      <c r="BT877" s="121"/>
      <c r="BU877" s="121"/>
      <c r="BV877" s="121"/>
      <c r="BW877" s="121"/>
      <c r="BX877" s="121"/>
      <c r="BY877" s="121"/>
      <c r="BZ877" s="121"/>
      <c r="CA877" s="121"/>
      <c r="CB877" s="121"/>
      <c r="CC877" s="121"/>
      <c r="CD877" s="121"/>
      <c r="CE877" s="121"/>
      <c r="CF877" s="121"/>
      <c r="CG877" s="121"/>
      <c r="CH877" s="121"/>
      <c r="CI877" s="121"/>
      <c r="CJ877" s="121"/>
      <c r="CK877" s="121"/>
      <c r="CL877" s="121"/>
      <c r="CM877" s="121"/>
      <c r="CN877" s="121"/>
      <c r="CO877" s="121"/>
      <c r="CP877" s="121"/>
      <c r="CQ877" s="121"/>
      <c r="CR877" s="121"/>
      <c r="CS877" s="121"/>
    </row>
    <row r="878" spans="1:97" s="65" customFormat="1" ht="12.75" customHeight="1">
      <c r="A878" s="50"/>
      <c r="B878" s="16"/>
      <c r="C878" s="50"/>
      <c r="D878" s="393"/>
      <c r="E878" s="486"/>
      <c r="F878" s="486"/>
      <c r="G878" s="486"/>
      <c r="H878" s="8"/>
      <c r="I878" s="8"/>
      <c r="J878" s="8"/>
      <c r="K878" s="8"/>
      <c r="L878" s="8"/>
      <c r="M878" s="8"/>
      <c r="N878" s="8"/>
      <c r="O878" s="8"/>
      <c r="P878" s="8"/>
      <c r="Q878" s="8"/>
      <c r="R878" s="8"/>
      <c r="S878" s="8"/>
      <c r="T878" s="8"/>
      <c r="U878" s="8"/>
      <c r="V878" s="8"/>
      <c r="W878" s="8"/>
      <c r="X878" s="8"/>
      <c r="Y878" s="8"/>
      <c r="Z878" s="8"/>
      <c r="AA878" s="8"/>
      <c r="AB878" s="8"/>
      <c r="AC878" s="8"/>
      <c r="AD878" s="8"/>
      <c r="AE878" s="8"/>
      <c r="AF878" s="486"/>
      <c r="AG878" s="16"/>
      <c r="AH878" s="16"/>
      <c r="AI878" s="16"/>
      <c r="AJ878" s="16"/>
      <c r="AK878" s="16"/>
      <c r="AL878" s="16"/>
      <c r="AM878" s="66"/>
      <c r="AN878" s="66"/>
      <c r="AO878" s="30"/>
      <c r="AP878" s="30"/>
      <c r="AQ878" s="30"/>
      <c r="AR878" s="30"/>
      <c r="AS878" s="30"/>
      <c r="AT878" s="70"/>
      <c r="AU878" s="70"/>
      <c r="AV878" s="70"/>
      <c r="AW878" s="70"/>
      <c r="AX878" s="70"/>
      <c r="AY878" s="70"/>
      <c r="AZ878" s="70"/>
      <c r="BA878" s="70"/>
      <c r="BB878" s="47" t="s">
        <v>728</v>
      </c>
      <c r="BC878" s="866">
        <v>299104</v>
      </c>
      <c r="BD878" s="866">
        <v>344864</v>
      </c>
      <c r="BE878" s="866">
        <v>416000</v>
      </c>
      <c r="BF878" s="866">
        <v>532480</v>
      </c>
      <c r="BG878" s="866">
        <v>593216</v>
      </c>
      <c r="BH878" s="70"/>
      <c r="BI878" s="47" t="s">
        <v>728</v>
      </c>
      <c r="BJ878" s="866">
        <v>299104</v>
      </c>
      <c r="BK878" s="866">
        <v>344864</v>
      </c>
      <c r="BL878" s="866">
        <v>416000</v>
      </c>
      <c r="BM878" s="866">
        <v>532480</v>
      </c>
      <c r="BN878" s="866">
        <v>593216</v>
      </c>
      <c r="BO878" s="121"/>
      <c r="BP878" s="121"/>
      <c r="BQ878" s="121"/>
      <c r="BR878" s="121"/>
      <c r="BS878" s="121"/>
      <c r="BT878" s="121"/>
      <c r="BU878" s="121"/>
      <c r="BV878" s="121"/>
      <c r="BW878" s="121"/>
      <c r="BX878" s="121"/>
      <c r="BY878" s="121"/>
      <c r="BZ878" s="121"/>
      <c r="CA878" s="121"/>
      <c r="CB878" s="121"/>
      <c r="CC878" s="121"/>
      <c r="CD878" s="121"/>
      <c r="CE878" s="121"/>
      <c r="CF878" s="121"/>
      <c r="CG878" s="121"/>
      <c r="CH878" s="121"/>
      <c r="CI878" s="121"/>
      <c r="CJ878" s="121"/>
      <c r="CK878" s="121"/>
      <c r="CL878" s="121"/>
      <c r="CM878" s="121"/>
      <c r="CN878" s="121"/>
      <c r="CO878" s="121"/>
      <c r="CP878" s="121"/>
      <c r="CQ878" s="121"/>
      <c r="CR878" s="121"/>
      <c r="CS878" s="121"/>
    </row>
    <row r="879" spans="1:97" s="65" customFormat="1" ht="15">
      <c r="A879" s="50"/>
      <c r="B879" s="16"/>
      <c r="C879" s="50" t="s">
        <v>405</v>
      </c>
      <c r="D879" s="393"/>
      <c r="E879" s="486"/>
      <c r="F879" s="486"/>
      <c r="G879" s="486"/>
      <c r="H879" s="8"/>
      <c r="I879" s="8"/>
      <c r="J879" s="8"/>
      <c r="K879" s="8"/>
      <c r="L879" s="8"/>
      <c r="M879" s="8"/>
      <c r="N879" s="8"/>
      <c r="O879" s="8"/>
      <c r="P879" s="8"/>
      <c r="Q879" s="8"/>
      <c r="R879" s="8"/>
      <c r="S879" s="8"/>
      <c r="T879" s="8"/>
      <c r="U879" s="8"/>
      <c r="V879" s="8"/>
      <c r="W879" s="8"/>
      <c r="X879" s="8"/>
      <c r="Y879" s="8"/>
      <c r="Z879" s="8"/>
      <c r="AA879" s="8"/>
      <c r="AB879" s="8"/>
      <c r="AC879" s="8"/>
      <c r="AD879" s="8"/>
      <c r="AE879" s="8"/>
      <c r="AF879" s="486"/>
      <c r="AG879" s="16"/>
      <c r="AH879" s="16"/>
      <c r="AI879" s="16"/>
      <c r="AJ879" s="16"/>
      <c r="AK879" s="16"/>
      <c r="AL879" s="16"/>
      <c r="AM879" s="133"/>
      <c r="AN879" s="133"/>
      <c r="AO879" s="30"/>
      <c r="AP879" s="30"/>
      <c r="AQ879" s="30"/>
      <c r="AR879" s="30"/>
      <c r="AS879" s="30"/>
      <c r="AT879" s="70"/>
      <c r="AU879" s="70"/>
      <c r="AV879" s="70"/>
      <c r="AW879" s="70"/>
      <c r="AX879" s="70"/>
      <c r="AY879" s="70"/>
      <c r="AZ879" s="70"/>
      <c r="BA879" s="70"/>
      <c r="BB879" s="47" t="s">
        <v>1001</v>
      </c>
      <c r="BC879" s="867">
        <v>299104</v>
      </c>
      <c r="BD879" s="867">
        <v>344864</v>
      </c>
      <c r="BE879" s="867">
        <v>416000</v>
      </c>
      <c r="BF879" s="867">
        <v>532480</v>
      </c>
      <c r="BG879" s="867">
        <v>593216</v>
      </c>
      <c r="BH879" s="70"/>
      <c r="BI879" s="47" t="s">
        <v>1001</v>
      </c>
      <c r="BJ879" s="867">
        <v>299104</v>
      </c>
      <c r="BK879" s="867">
        <v>344864</v>
      </c>
      <c r="BL879" s="867">
        <v>416000</v>
      </c>
      <c r="BM879" s="867">
        <v>532480</v>
      </c>
      <c r="BN879" s="867">
        <v>593216</v>
      </c>
      <c r="BO879" s="121"/>
      <c r="BP879" s="121"/>
      <c r="BQ879" s="121"/>
      <c r="BR879" s="121"/>
      <c r="BS879" s="121"/>
      <c r="BT879" s="121"/>
      <c r="BU879" s="121"/>
      <c r="BV879" s="121"/>
      <c r="BW879" s="121"/>
      <c r="BX879" s="121"/>
      <c r="BY879" s="121"/>
      <c r="BZ879" s="121"/>
      <c r="CA879" s="121"/>
      <c r="CB879" s="121"/>
      <c r="CC879" s="121"/>
      <c r="CD879" s="121"/>
      <c r="CE879" s="121"/>
      <c r="CF879" s="121"/>
      <c r="CG879" s="121"/>
      <c r="CH879" s="121"/>
      <c r="CI879" s="121"/>
      <c r="CJ879" s="121"/>
      <c r="CK879" s="121"/>
      <c r="CL879" s="121"/>
      <c r="CM879" s="121"/>
      <c r="CN879" s="121"/>
      <c r="CO879" s="121"/>
      <c r="CP879" s="121"/>
      <c r="CQ879" s="121"/>
      <c r="CR879" s="121"/>
      <c r="CS879" s="121"/>
    </row>
    <row r="880" spans="1:97" s="65" customFormat="1" ht="15">
      <c r="A880" s="50"/>
      <c r="B880" s="16"/>
      <c r="C880" s="491" t="s">
        <v>406</v>
      </c>
      <c r="D880" s="393"/>
      <c r="E880" s="486"/>
      <c r="F880" s="486"/>
      <c r="G880" s="486"/>
      <c r="H880" s="8"/>
      <c r="I880" s="8"/>
      <c r="J880" s="8"/>
      <c r="K880" s="8"/>
      <c r="L880" s="8"/>
      <c r="M880" s="8"/>
      <c r="N880" s="8"/>
      <c r="O880" s="8"/>
      <c r="P880" s="8"/>
      <c r="Q880" s="8"/>
      <c r="R880" s="8"/>
      <c r="S880" s="8"/>
      <c r="T880" s="8"/>
      <c r="U880" s="8"/>
      <c r="V880" s="8"/>
      <c r="W880" s="8"/>
      <c r="X880" s="8"/>
      <c r="Y880" s="8"/>
      <c r="Z880" s="8"/>
      <c r="AA880" s="8"/>
      <c r="AB880" s="8"/>
      <c r="AC880" s="8"/>
      <c r="AD880" s="8"/>
      <c r="AE880" s="8"/>
      <c r="AF880" s="486"/>
      <c r="AG880" s="16"/>
      <c r="AH880" s="16"/>
      <c r="AI880" s="16"/>
      <c r="AJ880" s="16"/>
      <c r="AK880" s="16"/>
      <c r="AL880" s="16"/>
      <c r="AM880" s="133"/>
      <c r="AN880" s="133"/>
      <c r="AO880" s="30"/>
      <c r="AP880" s="30"/>
      <c r="AQ880" s="30"/>
      <c r="AR880" s="30"/>
      <c r="AS880" s="30"/>
      <c r="AT880" s="2109"/>
      <c r="AU880" s="2109"/>
      <c r="AV880" s="2109"/>
      <c r="AW880" s="2109"/>
      <c r="AX880" s="2109"/>
      <c r="AY880" s="2109"/>
      <c r="AZ880" s="70"/>
      <c r="BA880" s="70"/>
      <c r="BB880" s="47" t="s">
        <v>1002</v>
      </c>
      <c r="BC880" s="866">
        <v>238133</v>
      </c>
      <c r="BD880" s="866">
        <v>274565</v>
      </c>
      <c r="BE880" s="866">
        <v>331200</v>
      </c>
      <c r="BF880" s="866">
        <v>423936</v>
      </c>
      <c r="BG880" s="866">
        <v>472291</v>
      </c>
      <c r="BH880" s="70"/>
      <c r="BI880" s="47" t="s">
        <v>1002</v>
      </c>
      <c r="BJ880" s="866">
        <v>238133</v>
      </c>
      <c r="BK880" s="866">
        <v>274565</v>
      </c>
      <c r="BL880" s="866">
        <v>331200</v>
      </c>
      <c r="BM880" s="866">
        <v>423936</v>
      </c>
      <c r="BN880" s="866">
        <v>472291</v>
      </c>
      <c r="BO880" s="121"/>
      <c r="BP880" s="121"/>
      <c r="BQ880" s="121"/>
      <c r="BR880" s="121"/>
      <c r="BS880" s="121"/>
      <c r="BT880" s="121"/>
      <c r="BU880" s="121"/>
      <c r="BV880" s="121"/>
      <c r="BW880" s="121"/>
      <c r="BX880" s="121"/>
      <c r="BY880" s="121"/>
      <c r="BZ880" s="121"/>
      <c r="CA880" s="121"/>
      <c r="CB880" s="121"/>
      <c r="CC880" s="121"/>
      <c r="CD880" s="121"/>
      <c r="CE880" s="121"/>
      <c r="CF880" s="121"/>
      <c r="CG880" s="121"/>
      <c r="CH880" s="121"/>
      <c r="CI880" s="121"/>
      <c r="CJ880" s="121"/>
      <c r="CK880" s="121"/>
      <c r="CL880" s="121"/>
      <c r="CM880" s="121"/>
      <c r="CN880" s="121"/>
      <c r="CO880" s="121"/>
      <c r="CP880" s="121"/>
      <c r="CQ880" s="121"/>
      <c r="CR880" s="121"/>
      <c r="CS880" s="121"/>
    </row>
    <row r="881" spans="1:97" s="65" customFormat="1" ht="15">
      <c r="A881" s="50"/>
      <c r="B881" s="16"/>
      <c r="C881" s="491" t="s">
        <v>407</v>
      </c>
      <c r="D881" s="393"/>
      <c r="E881" s="486"/>
      <c r="F881" s="486"/>
      <c r="G881" s="486"/>
      <c r="H881" s="8"/>
      <c r="I881" s="8"/>
      <c r="J881" s="8"/>
      <c r="K881" s="8"/>
      <c r="L881" s="8"/>
      <c r="M881" s="8"/>
      <c r="N881" s="8"/>
      <c r="O881" s="8"/>
      <c r="P881" s="8"/>
      <c r="Q881" s="8"/>
      <c r="R881" s="8"/>
      <c r="S881" s="8"/>
      <c r="T881" s="8"/>
      <c r="U881" s="8"/>
      <c r="V881" s="8"/>
      <c r="W881" s="8"/>
      <c r="X881" s="8"/>
      <c r="Y881" s="8"/>
      <c r="Z881" s="8"/>
      <c r="AA881" s="8"/>
      <c r="AB881" s="8"/>
      <c r="AC881" s="8"/>
      <c r="AD881" s="8"/>
      <c r="AE881" s="8"/>
      <c r="AF881" s="486"/>
      <c r="AG881" s="16"/>
      <c r="AH881" s="16"/>
      <c r="AI881" s="16"/>
      <c r="AJ881" s="16"/>
      <c r="AK881" s="16"/>
      <c r="AL881" s="16"/>
      <c r="AM881" s="133"/>
      <c r="AN881" s="133"/>
      <c r="AO881" s="30"/>
      <c r="AP881" s="30"/>
      <c r="AQ881" s="30"/>
      <c r="AR881" s="30"/>
      <c r="AS881" s="30"/>
      <c r="AT881" s="135"/>
      <c r="AU881" s="135"/>
      <c r="AV881" s="135"/>
      <c r="AW881" s="135"/>
      <c r="AX881" s="135"/>
      <c r="AY881" s="135"/>
      <c r="AZ881" s="70"/>
      <c r="BA881" s="70"/>
      <c r="BB881" s="47" t="s">
        <v>1</v>
      </c>
      <c r="BC881" s="867">
        <v>278397</v>
      </c>
      <c r="BD881" s="867">
        <v>320989</v>
      </c>
      <c r="BE881" s="867">
        <v>387200</v>
      </c>
      <c r="BF881" s="867">
        <v>495616</v>
      </c>
      <c r="BG881" s="867">
        <v>552147</v>
      </c>
      <c r="BH881" s="70"/>
      <c r="BI881" s="47" t="s">
        <v>1</v>
      </c>
      <c r="BJ881" s="867">
        <v>278397</v>
      </c>
      <c r="BK881" s="867">
        <v>320989</v>
      </c>
      <c r="BL881" s="867">
        <v>387200</v>
      </c>
      <c r="BM881" s="867">
        <v>495616</v>
      </c>
      <c r="BN881" s="867">
        <v>552147</v>
      </c>
      <c r="BO881" s="121"/>
      <c r="BP881" s="121"/>
      <c r="BQ881" s="121"/>
      <c r="BR881" s="121"/>
      <c r="BS881" s="121"/>
      <c r="BT881" s="121"/>
      <c r="BU881" s="121"/>
      <c r="BV881" s="121"/>
      <c r="BW881" s="121"/>
      <c r="BX881" s="121"/>
      <c r="BY881" s="121"/>
      <c r="BZ881" s="121"/>
      <c r="CA881" s="121"/>
      <c r="CB881" s="121"/>
      <c r="CC881" s="121"/>
      <c r="CD881" s="121"/>
      <c r="CE881" s="121"/>
      <c r="CF881" s="121"/>
      <c r="CG881" s="121"/>
      <c r="CH881" s="121"/>
      <c r="CI881" s="121"/>
      <c r="CJ881" s="121"/>
      <c r="CK881" s="121"/>
      <c r="CL881" s="121"/>
      <c r="CM881" s="121"/>
      <c r="CN881" s="121"/>
      <c r="CO881" s="121"/>
      <c r="CP881" s="121"/>
      <c r="CQ881" s="121"/>
      <c r="CR881" s="121"/>
      <c r="CS881" s="121"/>
    </row>
    <row r="882" spans="1:97" s="65" customFormat="1" ht="15">
      <c r="A882" s="50"/>
      <c r="B882" s="16"/>
      <c r="C882" s="492" t="s">
        <v>824</v>
      </c>
      <c r="D882" s="393"/>
      <c r="E882" s="486"/>
      <c r="F882" s="486"/>
      <c r="G882" s="486"/>
      <c r="H882" s="8"/>
      <c r="I882" s="8"/>
      <c r="J882" s="8"/>
      <c r="K882" s="8"/>
      <c r="L882" s="8"/>
      <c r="M882" s="8"/>
      <c r="N882" s="8"/>
      <c r="O882" s="8"/>
      <c r="P882" s="8"/>
      <c r="Q882" s="8"/>
      <c r="R882" s="8"/>
      <c r="S882" s="8"/>
      <c r="T882" s="8"/>
      <c r="U882" s="8"/>
      <c r="V882" s="8"/>
      <c r="W882" s="8"/>
      <c r="X882" s="8"/>
      <c r="Y882" s="8"/>
      <c r="Z882" s="8"/>
      <c r="AA882" s="8"/>
      <c r="AB882" s="8"/>
      <c r="AC882" s="8"/>
      <c r="AD882" s="8"/>
      <c r="AE882" s="8"/>
      <c r="AF882" s="486"/>
      <c r="AG882" s="16"/>
      <c r="AH882" s="16"/>
      <c r="AI882" s="16"/>
      <c r="AJ882" s="16"/>
      <c r="AK882" s="16"/>
      <c r="AL882" s="16"/>
      <c r="AM882" s="133"/>
      <c r="AN882" s="133"/>
      <c r="AO882" s="30"/>
      <c r="AP882" s="30"/>
      <c r="AQ882" s="30"/>
      <c r="AR882" s="30"/>
      <c r="AS882" s="30"/>
      <c r="AT882" s="135"/>
      <c r="AU882" s="135"/>
      <c r="AV882" s="135"/>
      <c r="AW882" s="135"/>
      <c r="AX882" s="135"/>
      <c r="AY882" s="135"/>
      <c r="AZ882" s="70"/>
      <c r="BA882" s="70"/>
      <c r="BB882" s="47" t="s">
        <v>2</v>
      </c>
      <c r="BC882" s="866">
        <v>262291</v>
      </c>
      <c r="BD882" s="866">
        <v>302419</v>
      </c>
      <c r="BE882" s="866">
        <v>364800</v>
      </c>
      <c r="BF882" s="866">
        <v>466944</v>
      </c>
      <c r="BG882" s="866">
        <v>520205</v>
      </c>
      <c r="BH882" s="70"/>
      <c r="BI882" s="47" t="s">
        <v>2</v>
      </c>
      <c r="BJ882" s="866">
        <v>262291</v>
      </c>
      <c r="BK882" s="866">
        <v>302419</v>
      </c>
      <c r="BL882" s="866">
        <v>364800</v>
      </c>
      <c r="BM882" s="866">
        <v>466944</v>
      </c>
      <c r="BN882" s="866">
        <v>520205</v>
      </c>
      <c r="BO882" s="121"/>
      <c r="BP882" s="121"/>
      <c r="BQ882" s="121"/>
      <c r="BR882" s="121"/>
      <c r="BS882" s="121"/>
      <c r="BT882" s="121"/>
      <c r="BU882" s="121"/>
      <c r="BV882" s="121"/>
      <c r="BW882" s="121"/>
      <c r="BX882" s="121"/>
      <c r="BY882" s="121"/>
      <c r="BZ882" s="121"/>
      <c r="CA882" s="121"/>
      <c r="CB882" s="121"/>
      <c r="CC882" s="121"/>
      <c r="CD882" s="121"/>
      <c r="CE882" s="121"/>
      <c r="CF882" s="121"/>
      <c r="CG882" s="121"/>
      <c r="CH882" s="121"/>
      <c r="CI882" s="121"/>
      <c r="CJ882" s="121"/>
      <c r="CK882" s="121"/>
      <c r="CL882" s="121"/>
      <c r="CM882" s="121"/>
      <c r="CN882" s="121"/>
      <c r="CO882" s="121"/>
      <c r="CP882" s="121"/>
      <c r="CQ882" s="121"/>
      <c r="CR882" s="121"/>
      <c r="CS882" s="121"/>
    </row>
    <row r="883" spans="1:97" s="65" customFormat="1" ht="12.75" customHeight="1">
      <c r="A883" s="50"/>
      <c r="B883" s="50"/>
      <c r="D883" s="393"/>
      <c r="E883" s="486"/>
      <c r="F883" s="486"/>
      <c r="G883" s="486"/>
      <c r="H883" s="8"/>
      <c r="I883" s="8"/>
      <c r="J883" s="8"/>
      <c r="K883" s="8"/>
      <c r="L883" s="8"/>
      <c r="M883" s="8"/>
      <c r="N883" s="8"/>
      <c r="O883" s="8"/>
      <c r="P883" s="8"/>
      <c r="Q883" s="8"/>
      <c r="R883" s="8"/>
      <c r="S883" s="8"/>
      <c r="T883" s="8"/>
      <c r="U883" s="8"/>
      <c r="V883" s="8"/>
      <c r="W883" s="8"/>
      <c r="X883" s="8"/>
      <c r="Y883" s="8"/>
      <c r="Z883" s="8"/>
      <c r="AA883" s="8"/>
      <c r="AB883" s="8"/>
      <c r="AC883" s="8"/>
      <c r="AD883" s="8"/>
      <c r="AE883" s="8"/>
      <c r="AF883" s="486"/>
      <c r="AG883" s="486"/>
      <c r="AH883" s="486"/>
      <c r="AI883" s="486"/>
      <c r="AJ883" s="50"/>
      <c r="AK883" s="50"/>
      <c r="AL883" s="16"/>
      <c r="AM883" s="556"/>
      <c r="AN883" s="556"/>
      <c r="AO883" s="30"/>
      <c r="AP883" s="30"/>
      <c r="AQ883" s="30"/>
      <c r="BB883" s="47" t="s">
        <v>3</v>
      </c>
      <c r="BC883" s="867">
        <v>262291</v>
      </c>
      <c r="BD883" s="867">
        <v>302419</v>
      </c>
      <c r="BE883" s="867">
        <v>364800</v>
      </c>
      <c r="BF883" s="867">
        <v>466944</v>
      </c>
      <c r="BG883" s="867">
        <v>520205</v>
      </c>
      <c r="BH883" s="70"/>
      <c r="BI883" s="47" t="s">
        <v>3</v>
      </c>
      <c r="BJ883" s="867">
        <v>262291</v>
      </c>
      <c r="BK883" s="867">
        <v>302419</v>
      </c>
      <c r="BL883" s="867">
        <v>364800</v>
      </c>
      <c r="BM883" s="867">
        <v>466944</v>
      </c>
      <c r="BN883" s="867">
        <v>520205</v>
      </c>
      <c r="BO883" s="121"/>
      <c r="BP883" s="121"/>
      <c r="BQ883" s="121"/>
      <c r="BR883" s="121"/>
      <c r="BS883" s="121"/>
      <c r="BT883" s="121"/>
      <c r="BU883" s="121"/>
      <c r="BV883" s="121"/>
      <c r="BW883" s="121"/>
      <c r="BX883" s="121"/>
      <c r="BY883" s="121"/>
      <c r="BZ883" s="121"/>
      <c r="CA883" s="121"/>
      <c r="CB883" s="121"/>
      <c r="CC883" s="121"/>
      <c r="CD883" s="121"/>
      <c r="CE883" s="121"/>
      <c r="CF883" s="121"/>
      <c r="CG883" s="121"/>
      <c r="CH883" s="121"/>
      <c r="CI883" s="121"/>
      <c r="CJ883" s="121"/>
      <c r="CK883" s="121"/>
      <c r="CL883" s="121"/>
      <c r="CM883" s="121"/>
      <c r="CN883" s="121"/>
      <c r="CO883" s="121"/>
      <c r="CP883" s="121"/>
      <c r="CQ883" s="121"/>
      <c r="CR883" s="121"/>
      <c r="CS883" s="121"/>
    </row>
    <row r="884" spans="1:97" s="65" customFormat="1" ht="13.8">
      <c r="A884" s="1792" t="s">
        <v>140</v>
      </c>
      <c r="B884" s="1792"/>
      <c r="C884" s="1792"/>
      <c r="D884" s="1792"/>
      <c r="E884" s="1792"/>
      <c r="F884" s="1792"/>
      <c r="G884" s="1792"/>
      <c r="H884" s="1792"/>
      <c r="I884" s="1792"/>
      <c r="J884" s="1792"/>
      <c r="K884" s="1792"/>
      <c r="L884" s="1792"/>
      <c r="M884" s="1792"/>
      <c r="N884" s="1792"/>
      <c r="O884" s="1792"/>
      <c r="P884" s="1792"/>
      <c r="Q884" s="1792"/>
      <c r="R884" s="1792"/>
      <c r="S884" s="1792"/>
      <c r="T884" s="1792"/>
      <c r="U884" s="1792"/>
      <c r="V884" s="1792"/>
      <c r="W884" s="1792"/>
      <c r="X884" s="1792"/>
      <c r="Y884" s="1792"/>
      <c r="Z884" s="1792"/>
      <c r="AA884" s="1792"/>
      <c r="AB884" s="1792"/>
      <c r="AC884" s="1792"/>
      <c r="AD884" s="1792"/>
      <c r="AE884" s="1792"/>
      <c r="AF884" s="1792"/>
      <c r="AG884" s="1792"/>
      <c r="AH884" s="1792"/>
      <c r="AI884" s="1792"/>
      <c r="AJ884" s="1792"/>
      <c r="AK884" s="1792"/>
      <c r="AL884" s="1792"/>
      <c r="AM884" s="66"/>
      <c r="AN884" s="66"/>
      <c r="AO884" s="30"/>
      <c r="AP884" s="30"/>
      <c r="AQ884" s="30"/>
      <c r="BB884" s="47" t="s">
        <v>4</v>
      </c>
      <c r="BC884" s="866">
        <v>238133</v>
      </c>
      <c r="BD884" s="866">
        <v>274565</v>
      </c>
      <c r="BE884" s="866">
        <v>331200</v>
      </c>
      <c r="BF884" s="866">
        <v>423936</v>
      </c>
      <c r="BG884" s="866">
        <v>472291</v>
      </c>
      <c r="BH884" s="70"/>
      <c r="BI884" s="47" t="s">
        <v>4</v>
      </c>
      <c r="BJ884" s="866">
        <v>238133</v>
      </c>
      <c r="BK884" s="866">
        <v>274565</v>
      </c>
      <c r="BL884" s="866">
        <v>331200</v>
      </c>
      <c r="BM884" s="866">
        <v>423936</v>
      </c>
      <c r="BN884" s="866">
        <v>472291</v>
      </c>
      <c r="BO884" s="121"/>
      <c r="BP884" s="121"/>
      <c r="BQ884" s="121"/>
      <c r="BR884" s="121"/>
      <c r="BS884" s="121"/>
      <c r="BT884" s="121"/>
      <c r="BU884" s="121"/>
      <c r="BV884" s="121"/>
      <c r="BW884" s="121"/>
      <c r="BX884" s="121"/>
      <c r="BY884" s="121"/>
      <c r="BZ884" s="121"/>
      <c r="CA884" s="121"/>
      <c r="CB884" s="121"/>
      <c r="CC884" s="121"/>
      <c r="CD884" s="121"/>
      <c r="CE884" s="121"/>
      <c r="CF884" s="121"/>
      <c r="CG884" s="121"/>
      <c r="CH884" s="121"/>
      <c r="CI884" s="121"/>
      <c r="CJ884" s="121"/>
      <c r="CK884" s="121"/>
      <c r="CL884" s="121"/>
      <c r="CM884" s="121"/>
      <c r="CN884" s="121"/>
      <c r="CO884" s="121"/>
      <c r="CP884" s="121"/>
      <c r="CQ884" s="121"/>
      <c r="CR884" s="121"/>
      <c r="CS884" s="121"/>
    </row>
    <row r="885" spans="1:97" s="65" customFormat="1" ht="12.75" customHeight="1">
      <c r="A885" s="1792"/>
      <c r="B885" s="1792"/>
      <c r="C885" s="1792"/>
      <c r="D885" s="1792"/>
      <c r="E885" s="1792"/>
      <c r="F885" s="1792"/>
      <c r="G885" s="1792"/>
      <c r="H885" s="1792"/>
      <c r="I885" s="1792"/>
      <c r="J885" s="1792"/>
      <c r="K885" s="1792"/>
      <c r="L885" s="1792"/>
      <c r="M885" s="1792"/>
      <c r="N885" s="1792"/>
      <c r="O885" s="1792"/>
      <c r="P885" s="1792"/>
      <c r="Q885" s="1792"/>
      <c r="R885" s="1792"/>
      <c r="S885" s="1792"/>
      <c r="T885" s="1792"/>
      <c r="U885" s="1792"/>
      <c r="V885" s="1792"/>
      <c r="W885" s="1792"/>
      <c r="X885" s="1792"/>
      <c r="Y885" s="1792"/>
      <c r="Z885" s="1792"/>
      <c r="AA885" s="1792"/>
      <c r="AB885" s="1792"/>
      <c r="AC885" s="1792"/>
      <c r="AD885" s="1792"/>
      <c r="AE885" s="1792"/>
      <c r="AF885" s="1792"/>
      <c r="AG885" s="1792"/>
      <c r="AH885" s="1792"/>
      <c r="AI885" s="1792"/>
      <c r="AJ885" s="1792"/>
      <c r="AK885" s="1792"/>
      <c r="AL885" s="1792"/>
      <c r="AM885" s="66"/>
      <c r="AN885" s="66"/>
      <c r="AO885" s="30"/>
      <c r="AP885" s="30"/>
      <c r="AQ885" s="30"/>
      <c r="AR885" s="30"/>
      <c r="AS885" s="30"/>
      <c r="AT885" s="70"/>
      <c r="AU885" s="70"/>
      <c r="AV885" s="70"/>
      <c r="AW885" s="70"/>
      <c r="AX885" s="70"/>
      <c r="AY885" s="70"/>
      <c r="AZ885" s="70"/>
      <c r="BA885" s="70"/>
      <c r="BB885" s="47" t="s">
        <v>21</v>
      </c>
      <c r="BC885" s="867">
        <v>262291</v>
      </c>
      <c r="BD885" s="867">
        <v>302419</v>
      </c>
      <c r="BE885" s="867">
        <v>364800</v>
      </c>
      <c r="BF885" s="867">
        <v>466944</v>
      </c>
      <c r="BG885" s="867">
        <v>520205</v>
      </c>
      <c r="BH885" s="70"/>
      <c r="BI885" s="47" t="s">
        <v>21</v>
      </c>
      <c r="BJ885" s="867">
        <v>262291</v>
      </c>
      <c r="BK885" s="867">
        <v>302419</v>
      </c>
      <c r="BL885" s="867">
        <v>364800</v>
      </c>
      <c r="BM885" s="867">
        <v>466944</v>
      </c>
      <c r="BN885" s="867">
        <v>520205</v>
      </c>
      <c r="BO885" s="121"/>
      <c r="BP885" s="121"/>
      <c r="BQ885" s="121"/>
      <c r="BR885" s="121"/>
      <c r="BS885" s="121"/>
      <c r="BT885" s="121"/>
      <c r="BU885" s="121"/>
      <c r="BV885" s="121"/>
      <c r="BW885" s="121"/>
      <c r="BX885" s="121"/>
      <c r="BY885" s="121"/>
      <c r="BZ885" s="121"/>
      <c r="CA885" s="121"/>
      <c r="CB885" s="121"/>
      <c r="CC885" s="121"/>
      <c r="CD885" s="121"/>
      <c r="CE885" s="121"/>
      <c r="CF885" s="121"/>
      <c r="CG885" s="121"/>
      <c r="CH885" s="121"/>
      <c r="CI885" s="121"/>
      <c r="CJ885" s="121"/>
      <c r="CK885" s="121"/>
      <c r="CL885" s="121"/>
      <c r="CM885" s="121"/>
      <c r="CN885" s="121"/>
      <c r="CO885" s="121"/>
      <c r="CP885" s="121"/>
      <c r="CQ885" s="121"/>
      <c r="CR885" s="121"/>
      <c r="CS885" s="121"/>
    </row>
    <row r="886" spans="1:97" ht="12.75" customHeight="1">
      <c r="D886" s="269"/>
      <c r="E886" s="269"/>
      <c r="F886" s="269"/>
      <c r="G886" s="269"/>
      <c r="H886" s="269"/>
      <c r="I886" s="269"/>
      <c r="J886" s="269"/>
      <c r="K886" s="269"/>
      <c r="L886" s="269"/>
      <c r="M886" s="269"/>
      <c r="N886" s="269"/>
      <c r="O886" s="269"/>
      <c r="P886" s="269"/>
      <c r="Q886" s="269"/>
      <c r="R886" s="269"/>
      <c r="S886" s="269"/>
      <c r="T886" s="269"/>
      <c r="U886" s="269"/>
      <c r="V886" s="269"/>
      <c r="W886" s="269"/>
      <c r="X886" s="269"/>
      <c r="Y886" s="269"/>
      <c r="Z886" s="269"/>
      <c r="AA886" s="269"/>
      <c r="AB886" s="269"/>
      <c r="AC886" s="269"/>
      <c r="AD886" s="269"/>
      <c r="AE886" s="269"/>
      <c r="AF886" s="269"/>
      <c r="AG886" s="269"/>
      <c r="AH886" s="269"/>
      <c r="AI886" s="269"/>
      <c r="AJ886" s="269"/>
      <c r="AK886" s="269"/>
      <c r="AL886" s="8"/>
      <c r="AM886" s="75"/>
      <c r="AN886" s="75"/>
      <c r="AO886" s="75"/>
      <c r="AP886" s="75"/>
      <c r="AQ886" s="75"/>
      <c r="AR886" s="75"/>
      <c r="AS886" s="75"/>
      <c r="AT886" s="75"/>
      <c r="AU886" s="75"/>
      <c r="AV886" s="75"/>
      <c r="AW886" s="75"/>
      <c r="AX886" s="75"/>
      <c r="AY886" s="75"/>
      <c r="AZ886" s="75"/>
      <c r="BA886" s="75"/>
      <c r="BB886" s="47" t="s">
        <v>5</v>
      </c>
      <c r="BC886" s="866">
        <v>303706</v>
      </c>
      <c r="BD886" s="866">
        <v>350170</v>
      </c>
      <c r="BE886" s="866">
        <v>422400</v>
      </c>
      <c r="BF886" s="866">
        <v>540672</v>
      </c>
      <c r="BG886" s="866">
        <v>602342</v>
      </c>
      <c r="BH886" s="70"/>
      <c r="BI886" s="47" t="s">
        <v>5</v>
      </c>
      <c r="BJ886" s="866">
        <v>303706</v>
      </c>
      <c r="BK886" s="866">
        <v>350170</v>
      </c>
      <c r="BL886" s="866">
        <v>422400</v>
      </c>
      <c r="BM886" s="866">
        <v>540672</v>
      </c>
      <c r="BN886" s="866">
        <v>602342</v>
      </c>
      <c r="BO886" s="75"/>
      <c r="BP886" s="75"/>
      <c r="BQ886" s="75"/>
      <c r="BR886" s="75"/>
      <c r="BS886" s="75"/>
      <c r="BT886" s="75"/>
      <c r="BU886" s="75"/>
      <c r="BV886" s="75"/>
      <c r="BW886" s="75"/>
      <c r="BX886" s="75"/>
      <c r="BY886" s="75"/>
      <c r="BZ886" s="75"/>
      <c r="CA886" s="75"/>
      <c r="CB886" s="75"/>
      <c r="CC886" s="75"/>
      <c r="CD886" s="75"/>
      <c r="CE886" s="75"/>
      <c r="CF886" s="75"/>
      <c r="CG886" s="75"/>
      <c r="CH886" s="75"/>
      <c r="CI886" s="75"/>
      <c r="CJ886" s="75"/>
      <c r="CK886" s="75"/>
      <c r="CL886" s="75"/>
      <c r="CM886" s="75"/>
      <c r="CN886" s="75"/>
      <c r="CO886" s="75"/>
      <c r="CP886" s="75"/>
      <c r="CQ886" s="75"/>
      <c r="CR886" s="75"/>
      <c r="CS886" s="75"/>
    </row>
    <row r="887" spans="1:97" ht="12.75" customHeight="1">
      <c r="A887" s="63" t="s">
        <v>719</v>
      </c>
      <c r="C887" s="63" t="s">
        <v>609</v>
      </c>
      <c r="D887" s="269"/>
      <c r="E887" s="269"/>
      <c r="F887" s="269"/>
      <c r="G887" s="269"/>
      <c r="H887" s="269"/>
      <c r="I887" s="269"/>
      <c r="J887" s="269"/>
      <c r="K887" s="269"/>
      <c r="L887" s="269"/>
      <c r="M887" s="269"/>
      <c r="N887" s="269"/>
      <c r="O887" s="269"/>
      <c r="P887" s="269"/>
      <c r="Q887" s="269"/>
      <c r="R887" s="269"/>
      <c r="S887" s="269"/>
      <c r="T887" s="269"/>
      <c r="U887" s="269"/>
      <c r="V887" s="269"/>
      <c r="W887" s="269"/>
      <c r="X887" s="269"/>
      <c r="Y887" s="269"/>
      <c r="Z887" s="269"/>
      <c r="AA887" s="269"/>
      <c r="AB887" s="269"/>
      <c r="AC887" s="269"/>
      <c r="AD887" s="269"/>
      <c r="AE887" s="269"/>
      <c r="AF887" s="269"/>
      <c r="AG887" s="269"/>
      <c r="AH887" s="269"/>
      <c r="AI887" s="269"/>
      <c r="AJ887" s="269"/>
      <c r="AK887" s="269"/>
      <c r="AM887" s="75"/>
      <c r="AN887" s="75"/>
      <c r="AO887" s="75"/>
      <c r="AP887" s="75"/>
      <c r="AQ887" s="75"/>
      <c r="AR887" s="75"/>
      <c r="AS887" s="75"/>
      <c r="AT887" s="75"/>
      <c r="AU887" s="75"/>
      <c r="AV887" s="75"/>
      <c r="AW887" s="75"/>
      <c r="AX887" s="75"/>
      <c r="AY887" s="75"/>
      <c r="AZ887" s="75"/>
      <c r="BA887" s="75"/>
      <c r="BB887" s="47" t="s">
        <v>6</v>
      </c>
      <c r="BC887" s="867">
        <v>278397</v>
      </c>
      <c r="BD887" s="867">
        <v>320989</v>
      </c>
      <c r="BE887" s="867">
        <v>387200</v>
      </c>
      <c r="BF887" s="867">
        <v>495616</v>
      </c>
      <c r="BG887" s="867">
        <v>552147</v>
      </c>
      <c r="BH887" s="70"/>
      <c r="BI887" s="47" t="s">
        <v>6</v>
      </c>
      <c r="BJ887" s="867">
        <v>278397</v>
      </c>
      <c r="BK887" s="867">
        <v>320989</v>
      </c>
      <c r="BL887" s="867">
        <v>387200</v>
      </c>
      <c r="BM887" s="867">
        <v>495616</v>
      </c>
      <c r="BN887" s="867">
        <v>552147</v>
      </c>
      <c r="BO887" s="75"/>
      <c r="BP887" s="75"/>
      <c r="BQ887" s="75"/>
      <c r="BR887" s="75"/>
      <c r="BS887" s="75"/>
      <c r="BT887" s="75"/>
      <c r="BU887" s="75"/>
      <c r="BV887" s="75"/>
      <c r="BW887" s="75"/>
      <c r="BX887" s="75"/>
      <c r="BY887" s="75"/>
      <c r="BZ887" s="75"/>
      <c r="CA887" s="75"/>
      <c r="CB887" s="75"/>
      <c r="CC887" s="75"/>
      <c r="CD887" s="75"/>
      <c r="CE887" s="75"/>
      <c r="CF887" s="75"/>
      <c r="CG887" s="75"/>
      <c r="CH887" s="75"/>
      <c r="CI887" s="75"/>
      <c r="CJ887" s="75"/>
      <c r="CK887" s="75"/>
      <c r="CL887" s="75"/>
      <c r="CM887" s="75"/>
      <c r="CN887" s="75"/>
      <c r="CO887" s="75"/>
      <c r="CP887" s="75"/>
      <c r="CQ887" s="75"/>
      <c r="CR887" s="75"/>
      <c r="CS887" s="75"/>
    </row>
    <row r="888" spans="1:97" ht="12.75" customHeight="1">
      <c r="AM888" s="75"/>
      <c r="AN888" s="75"/>
      <c r="AO888" s="75"/>
      <c r="AP888" s="75"/>
      <c r="AQ888" s="75"/>
      <c r="AR888" s="75"/>
      <c r="AS888" s="75"/>
      <c r="AT888" s="75"/>
      <c r="AU888" s="75"/>
      <c r="AV888" s="75"/>
      <c r="AW888" s="75"/>
      <c r="AX888" s="75"/>
      <c r="AY888" s="75"/>
      <c r="AZ888" s="75"/>
      <c r="BA888" s="75"/>
      <c r="BB888" s="47" t="s">
        <v>492</v>
      </c>
      <c r="BC888" s="866">
        <v>278397</v>
      </c>
      <c r="BD888" s="866">
        <v>320989</v>
      </c>
      <c r="BE888" s="866">
        <v>387200</v>
      </c>
      <c r="BF888" s="866">
        <v>495616</v>
      </c>
      <c r="BG888" s="866">
        <v>552147</v>
      </c>
      <c r="BH888" s="70"/>
      <c r="BI888" s="47" t="s">
        <v>492</v>
      </c>
      <c r="BJ888" s="866">
        <v>278397</v>
      </c>
      <c r="BK888" s="866">
        <v>320989</v>
      </c>
      <c r="BL888" s="866">
        <v>387200</v>
      </c>
      <c r="BM888" s="866">
        <v>495616</v>
      </c>
      <c r="BN888" s="866">
        <v>552147</v>
      </c>
      <c r="BO888" s="75"/>
      <c r="BP888" s="75"/>
      <c r="BQ888" s="75"/>
      <c r="BR888" s="75"/>
      <c r="BS888" s="75"/>
      <c r="BT888" s="75"/>
      <c r="BU888" s="75"/>
      <c r="BV888" s="75"/>
      <c r="BW888" s="75"/>
      <c r="BX888" s="75"/>
      <c r="BY888" s="75"/>
      <c r="BZ888" s="75"/>
      <c r="CA888" s="75"/>
      <c r="CB888" s="75"/>
      <c r="CC888" s="75"/>
      <c r="CD888" s="75"/>
      <c r="CE888" s="75"/>
      <c r="CF888" s="75"/>
      <c r="CG888" s="75"/>
      <c r="CH888" s="75"/>
      <c r="CI888" s="75"/>
      <c r="CJ888" s="75"/>
      <c r="CK888" s="75"/>
      <c r="CL888" s="75"/>
      <c r="CM888" s="75"/>
      <c r="CN888" s="75"/>
      <c r="CO888" s="75"/>
      <c r="CP888" s="75"/>
      <c r="CQ888" s="75"/>
      <c r="CR888" s="75"/>
      <c r="CS888" s="75"/>
    </row>
    <row r="889" spans="1:97" ht="12.75" customHeight="1">
      <c r="B889" s="35"/>
      <c r="C889" s="35"/>
      <c r="D889" s="35"/>
      <c r="E889" s="35"/>
      <c r="F889" s="2018" t="s">
        <v>1065</v>
      </c>
      <c r="G889" s="2019"/>
      <c r="H889" s="2019"/>
      <c r="I889" s="2019"/>
      <c r="J889" s="2019"/>
      <c r="K889" s="2019"/>
      <c r="L889" s="2019"/>
      <c r="M889" s="2019"/>
      <c r="N889" s="2019"/>
      <c r="O889" s="2019"/>
      <c r="P889" s="2019"/>
      <c r="Q889" s="2019"/>
      <c r="R889" s="2019"/>
      <c r="S889" s="2019"/>
      <c r="T889" s="2020"/>
      <c r="U889" s="2022" t="s">
        <v>384</v>
      </c>
      <c r="V889" s="1947"/>
      <c r="W889" s="1947"/>
      <c r="X889" s="1947"/>
      <c r="Y889" s="1947"/>
      <c r="Z889" s="1947"/>
      <c r="AA889" s="87"/>
      <c r="AB889" s="307"/>
      <c r="AC889" s="307"/>
      <c r="AD889" s="307"/>
      <c r="AE889" s="307"/>
      <c r="AF889" s="308"/>
      <c r="AM889" s="75"/>
      <c r="AN889" s="75"/>
      <c r="AO889" s="75"/>
      <c r="AP889" s="75"/>
      <c r="AQ889" s="75"/>
      <c r="AR889" s="75"/>
      <c r="AS889" s="75"/>
      <c r="AT889" s="75"/>
      <c r="AU889" s="75"/>
      <c r="AV889" s="75"/>
      <c r="AW889" s="75"/>
      <c r="AX889" s="75"/>
      <c r="AY889" s="75"/>
      <c r="AZ889" s="75"/>
      <c r="BA889" s="75"/>
      <c r="BO889" s="75"/>
      <c r="BP889" s="75"/>
      <c r="BQ889" s="75"/>
      <c r="BR889" s="75"/>
      <c r="BS889" s="75"/>
      <c r="BT889" s="75"/>
      <c r="BU889" s="75"/>
      <c r="BV889" s="75"/>
      <c r="BW889" s="75"/>
      <c r="BX889" s="75"/>
      <c r="BY889" s="75"/>
      <c r="BZ889" s="75"/>
      <c r="CA889" s="75"/>
      <c r="CB889" s="75"/>
      <c r="CC889" s="75"/>
      <c r="CD889" s="75"/>
      <c r="CE889" s="75"/>
      <c r="CF889" s="75"/>
      <c r="CG889" s="75"/>
      <c r="CH889" s="75"/>
      <c r="CI889" s="75"/>
      <c r="CJ889" s="75"/>
      <c r="CK889" s="75"/>
      <c r="CL889" s="75"/>
      <c r="CM889" s="75"/>
      <c r="CN889" s="75"/>
      <c r="CO889" s="75"/>
      <c r="CP889" s="75"/>
      <c r="CQ889" s="75"/>
      <c r="CR889" s="75"/>
      <c r="CS889" s="75"/>
    </row>
    <row r="890" spans="1:97" ht="12.75" customHeight="1">
      <c r="B890" s="63"/>
      <c r="F890" s="2023" t="s">
        <v>1155</v>
      </c>
      <c r="G890" s="2024"/>
      <c r="H890" s="2024"/>
      <c r="I890" s="2024"/>
      <c r="J890" s="2024"/>
      <c r="K890" s="2024"/>
      <c r="L890" s="2024"/>
      <c r="M890" s="2024"/>
      <c r="N890" s="2024"/>
      <c r="O890" s="2024"/>
      <c r="P890" s="2024"/>
      <c r="Q890" s="2024"/>
      <c r="R890" s="2024"/>
      <c r="S890" s="2024"/>
      <c r="T890" s="2025"/>
      <c r="U890" s="2023"/>
      <c r="V890" s="2024"/>
      <c r="W890" s="2024"/>
      <c r="X890" s="2024"/>
      <c r="Y890" s="2024"/>
      <c r="Z890" s="2024"/>
      <c r="AA890" s="88"/>
      <c r="AB890" s="71"/>
      <c r="AC890" s="71"/>
      <c r="AD890" s="71"/>
      <c r="AE890" s="71"/>
      <c r="AF890" s="309"/>
      <c r="AM890" s="75"/>
      <c r="AN890" s="75"/>
      <c r="AO890" s="75"/>
      <c r="AP890" s="75"/>
      <c r="AQ890" s="75"/>
      <c r="AR890" s="75"/>
      <c r="AS890" s="75"/>
      <c r="AT890" s="75"/>
      <c r="AU890" s="75"/>
      <c r="AV890" s="75"/>
      <c r="AW890" s="75"/>
      <c r="AX890" s="75"/>
      <c r="AY890" s="75"/>
      <c r="AZ890" s="75"/>
      <c r="BA890" s="75"/>
      <c r="BO890" s="75"/>
      <c r="BP890" s="75"/>
      <c r="BQ890" s="75"/>
      <c r="BR890" s="75"/>
      <c r="BS890" s="75"/>
      <c r="BT890" s="75"/>
      <c r="BU890" s="75"/>
      <c r="BV890" s="75"/>
      <c r="BW890" s="75"/>
      <c r="BX890" s="75"/>
      <c r="BY890" s="75"/>
      <c r="BZ890" s="75"/>
      <c r="CA890" s="75"/>
      <c r="CB890" s="75"/>
      <c r="CC890" s="75"/>
      <c r="CD890" s="75"/>
      <c r="CE890" s="75"/>
      <c r="CF890" s="75"/>
      <c r="CG890" s="75"/>
      <c r="CH890" s="75"/>
      <c r="CI890" s="75"/>
      <c r="CJ890" s="75"/>
      <c r="CK890" s="75"/>
      <c r="CL890" s="75"/>
      <c r="CM890" s="75"/>
      <c r="CN890" s="75"/>
      <c r="CO890" s="75"/>
      <c r="CP890" s="75"/>
      <c r="CQ890" s="75"/>
      <c r="CR890" s="75"/>
      <c r="CS890" s="75"/>
    </row>
    <row r="891" spans="1:97" ht="12.75" customHeight="1">
      <c r="B891" s="63"/>
      <c r="F891" s="2026"/>
      <c r="G891" s="2027"/>
      <c r="H891" s="2027"/>
      <c r="I891" s="2027"/>
      <c r="J891" s="2027"/>
      <c r="K891" s="2027"/>
      <c r="L891" s="2027"/>
      <c r="M891" s="2027"/>
      <c r="N891" s="2027"/>
      <c r="O891" s="2027"/>
      <c r="P891" s="2027"/>
      <c r="Q891" s="2027"/>
      <c r="R891" s="2027"/>
      <c r="S891" s="2027"/>
      <c r="T891" s="2028"/>
      <c r="U891" s="2026"/>
      <c r="V891" s="2027"/>
      <c r="W891" s="2027"/>
      <c r="X891" s="2027"/>
      <c r="Y891" s="2027"/>
      <c r="Z891" s="2027"/>
      <c r="AA891" s="310"/>
      <c r="AB891" s="2099" t="s">
        <v>61</v>
      </c>
      <c r="AC891" s="2099"/>
      <c r="AD891" s="2099"/>
      <c r="AE891" s="2099"/>
      <c r="AF891" s="311"/>
      <c r="AM891" s="75"/>
      <c r="AN891" s="75"/>
      <c r="AO891" s="75"/>
      <c r="AP891" s="75"/>
      <c r="AQ891" s="75"/>
      <c r="AR891" s="75"/>
      <c r="AS891" s="75"/>
      <c r="AT891" s="75"/>
      <c r="AU891" s="75"/>
      <c r="AV891" s="75"/>
      <c r="AW891" s="75"/>
      <c r="AX891" s="75"/>
      <c r="AY891" s="75"/>
      <c r="AZ891" s="75"/>
      <c r="BA891" s="75"/>
      <c r="BO891" s="75"/>
      <c r="BP891" s="75"/>
      <c r="BQ891" s="75"/>
      <c r="BR891" s="75"/>
      <c r="BS891" s="75"/>
      <c r="BT891" s="75"/>
      <c r="BU891" s="75"/>
      <c r="BV891" s="75"/>
      <c r="BW891" s="75"/>
      <c r="BX891" s="75"/>
      <c r="BY891" s="75"/>
      <c r="BZ891" s="75"/>
      <c r="CA891" s="75"/>
      <c r="CB891" s="75"/>
      <c r="CC891" s="75"/>
      <c r="CD891" s="75"/>
      <c r="CE891" s="75"/>
      <c r="CF891" s="75"/>
      <c r="CG891" s="75"/>
      <c r="CH891" s="75"/>
      <c r="CI891" s="75"/>
      <c r="CJ891" s="75"/>
      <c r="CK891" s="75"/>
      <c r="CL891" s="75"/>
      <c r="CM891" s="75"/>
      <c r="CN891" s="75"/>
      <c r="CO891" s="75"/>
      <c r="CP891" s="75"/>
      <c r="CQ891" s="75"/>
      <c r="CR891" s="75"/>
      <c r="CS891" s="75"/>
    </row>
    <row r="892" spans="1:97" ht="12.75" customHeight="1">
      <c r="F892" s="90" t="s">
        <v>175</v>
      </c>
      <c r="G892" s="91"/>
      <c r="H892" s="91"/>
      <c r="I892" s="91"/>
      <c r="J892" s="91"/>
      <c r="K892" s="91"/>
      <c r="L892" s="91"/>
      <c r="M892" s="91"/>
      <c r="N892" s="91"/>
      <c r="O892" s="91"/>
      <c r="P892" s="91"/>
      <c r="Q892" s="91"/>
      <c r="R892" s="91"/>
      <c r="S892" s="91"/>
      <c r="T892" s="92"/>
      <c r="U892" s="1756" t="s">
        <v>119</v>
      </c>
      <c r="V892" s="1757"/>
      <c r="W892" s="1757"/>
      <c r="X892" s="1757"/>
      <c r="Y892" s="1757"/>
      <c r="Z892" s="1758"/>
      <c r="AA892" s="1753">
        <v>1633112</v>
      </c>
      <c r="AB892" s="1754"/>
      <c r="AC892" s="1754"/>
      <c r="AD892" s="1754"/>
      <c r="AE892" s="1754"/>
      <c r="AF892" s="1755"/>
      <c r="AM892" s="75"/>
      <c r="AN892" s="75"/>
      <c r="AO892" s="75"/>
      <c r="AP892" s="75"/>
      <c r="AQ892" s="75"/>
      <c r="AR892" s="75"/>
      <c r="AS892" s="75"/>
      <c r="AT892" s="75"/>
      <c r="AU892" s="75"/>
      <c r="AV892" s="75"/>
      <c r="AW892" s="75"/>
      <c r="AX892" s="75"/>
      <c r="AY892" s="75"/>
      <c r="AZ892" s="75"/>
      <c r="BA892" s="75"/>
      <c r="BO892" s="75"/>
      <c r="BP892" s="75"/>
      <c r="BQ892" s="75"/>
      <c r="BR892" s="75"/>
      <c r="BS892" s="75"/>
      <c r="BT892" s="75"/>
      <c r="BU892" s="75"/>
      <c r="BV892" s="75"/>
      <c r="BW892" s="75"/>
      <c r="BX892" s="75"/>
      <c r="BY892" s="75"/>
      <c r="BZ892" s="75"/>
      <c r="CA892" s="75"/>
      <c r="CB892" s="75"/>
      <c r="CC892" s="75"/>
      <c r="CD892" s="75"/>
      <c r="CE892" s="75"/>
      <c r="CF892" s="75"/>
      <c r="CG892" s="75"/>
      <c r="CH892" s="75"/>
      <c r="CI892" s="75"/>
      <c r="CJ892" s="75"/>
      <c r="CK892" s="75"/>
      <c r="CL892" s="75"/>
      <c r="CM892" s="75"/>
      <c r="CN892" s="75"/>
      <c r="CO892" s="75"/>
      <c r="CP892" s="75"/>
      <c r="CQ892" s="75"/>
      <c r="CR892" s="75"/>
      <c r="CS892" s="75"/>
    </row>
    <row r="893" spans="1:97" ht="12.75" customHeight="1">
      <c r="F893" s="90" t="s">
        <v>177</v>
      </c>
      <c r="G893" s="91"/>
      <c r="H893" s="91"/>
      <c r="I893" s="91"/>
      <c r="J893" s="91"/>
      <c r="K893" s="91"/>
      <c r="L893" s="91"/>
      <c r="M893" s="91"/>
      <c r="N893" s="91"/>
      <c r="O893" s="91"/>
      <c r="P893" s="91"/>
      <c r="Q893" s="91"/>
      <c r="R893" s="91"/>
      <c r="S893" s="91"/>
      <c r="T893" s="92"/>
      <c r="U893" s="1756" t="s">
        <v>136</v>
      </c>
      <c r="V893" s="1757"/>
      <c r="W893" s="1757"/>
      <c r="X893" s="1757"/>
      <c r="Y893" s="1757"/>
      <c r="Z893" s="1758"/>
      <c r="AA893" s="1753"/>
      <c r="AB893" s="1754"/>
      <c r="AC893" s="1754"/>
      <c r="AD893" s="1754"/>
      <c r="AE893" s="1754"/>
      <c r="AF893" s="1755"/>
      <c r="AM893" s="75"/>
      <c r="AN893" s="75"/>
      <c r="AO893" s="75"/>
      <c r="AP893" s="75"/>
      <c r="AQ893" s="75"/>
      <c r="AR893" s="75"/>
      <c r="AS893" s="75"/>
      <c r="AT893" s="75"/>
      <c r="AU893" s="75"/>
      <c r="AV893" s="75"/>
      <c r="AW893" s="75"/>
      <c r="AX893" s="75"/>
      <c r="AY893" s="75"/>
      <c r="AZ893" s="75"/>
      <c r="BA893" s="75"/>
      <c r="BO893" s="75"/>
      <c r="BP893" s="75"/>
      <c r="BQ893" s="75"/>
      <c r="BR893" s="75"/>
      <c r="BS893" s="75"/>
      <c r="BT893" s="75"/>
      <c r="BU893" s="75"/>
      <c r="BV893" s="75"/>
      <c r="BW893" s="75"/>
      <c r="BX893" s="75"/>
      <c r="BY893" s="75"/>
      <c r="BZ893" s="75"/>
      <c r="CA893" s="75"/>
      <c r="CB893" s="75"/>
      <c r="CC893" s="75"/>
      <c r="CD893" s="75"/>
      <c r="CE893" s="75"/>
      <c r="CF893" s="75"/>
      <c r="CG893" s="75"/>
      <c r="CH893" s="75"/>
      <c r="CI893" s="75"/>
      <c r="CJ893" s="75"/>
      <c r="CK893" s="75"/>
      <c r="CL893" s="75"/>
      <c r="CM893" s="75"/>
      <c r="CN893" s="75"/>
      <c r="CO893" s="75"/>
      <c r="CP893" s="75"/>
      <c r="CQ893" s="75"/>
      <c r="CR893" s="75"/>
      <c r="CS893" s="75"/>
    </row>
    <row r="894" spans="1:97" ht="12.75" customHeight="1">
      <c r="F894" s="117" t="s">
        <v>1050</v>
      </c>
      <c r="G894" s="91"/>
      <c r="H894" s="91"/>
      <c r="I894" s="91"/>
      <c r="J894" s="91"/>
      <c r="K894" s="91"/>
      <c r="L894" s="91"/>
      <c r="M894" s="91"/>
      <c r="N894" s="91"/>
      <c r="O894" s="91"/>
      <c r="P894" s="91"/>
      <c r="Q894" s="91"/>
      <c r="R894" s="91"/>
      <c r="S894" s="91"/>
      <c r="T894" s="92"/>
      <c r="U894" s="1756" t="s">
        <v>136</v>
      </c>
      <c r="V894" s="1757"/>
      <c r="W894" s="1757"/>
      <c r="X894" s="1757"/>
      <c r="Y894" s="1757"/>
      <c r="Z894" s="1758"/>
      <c r="AA894" s="1753"/>
      <c r="AB894" s="1754"/>
      <c r="AC894" s="1754"/>
      <c r="AD894" s="1754"/>
      <c r="AE894" s="1754"/>
      <c r="AF894" s="1755"/>
      <c r="AM894" s="75"/>
      <c r="AN894" s="75"/>
      <c r="AO894" s="75"/>
      <c r="AP894" s="75"/>
      <c r="AQ894" s="75"/>
      <c r="AR894" s="75"/>
      <c r="AS894" s="75"/>
      <c r="AT894" s="75"/>
      <c r="AU894" s="75"/>
      <c r="AV894" s="75"/>
      <c r="AW894" s="75"/>
      <c r="AX894" s="75"/>
      <c r="AY894" s="75"/>
      <c r="AZ894" s="75"/>
      <c r="BA894" s="75"/>
      <c r="BO894" s="75"/>
      <c r="BP894" s="75"/>
      <c r="BQ894" s="75"/>
      <c r="BR894" s="75"/>
      <c r="BS894" s="75"/>
      <c r="BT894" s="75"/>
      <c r="BU894" s="75"/>
      <c r="BV894" s="75"/>
      <c r="BW894" s="75"/>
      <c r="BX894" s="75"/>
      <c r="BY894" s="75"/>
      <c r="BZ894" s="75"/>
      <c r="CA894" s="75"/>
      <c r="CB894" s="75"/>
      <c r="CC894" s="75"/>
      <c r="CD894" s="75"/>
      <c r="CE894" s="75"/>
      <c r="CF894" s="75"/>
      <c r="CG894" s="75"/>
      <c r="CH894" s="75"/>
      <c r="CI894" s="75"/>
      <c r="CJ894" s="75"/>
      <c r="CK894" s="75"/>
      <c r="CL894" s="75"/>
      <c r="CM894" s="75"/>
      <c r="CN894" s="75"/>
      <c r="CO894" s="75"/>
      <c r="CP894" s="75"/>
      <c r="CQ894" s="75"/>
      <c r="CR894" s="75"/>
      <c r="CS894" s="75"/>
    </row>
    <row r="895" spans="1:97" ht="12.75" customHeight="1">
      <c r="F895" s="117" t="s">
        <v>1051</v>
      </c>
      <c r="G895" s="91"/>
      <c r="H895" s="91"/>
      <c r="I895" s="91"/>
      <c r="J895" s="91"/>
      <c r="K895" s="91"/>
      <c r="L895" s="91"/>
      <c r="M895" s="91"/>
      <c r="N895" s="91"/>
      <c r="O895" s="91"/>
      <c r="P895" s="91"/>
      <c r="Q895" s="91"/>
      <c r="R895" s="91"/>
      <c r="S895" s="91"/>
      <c r="T895" s="92"/>
      <c r="U895" s="1756" t="s">
        <v>136</v>
      </c>
      <c r="V895" s="1757"/>
      <c r="W895" s="1757"/>
      <c r="X895" s="1757"/>
      <c r="Y895" s="1757"/>
      <c r="Z895" s="1758"/>
      <c r="AA895" s="1753"/>
      <c r="AB895" s="1754"/>
      <c r="AC895" s="1754"/>
      <c r="AD895" s="1754"/>
      <c r="AE895" s="1754"/>
      <c r="AF895" s="1755"/>
      <c r="AM895" s="75"/>
      <c r="AN895" s="75"/>
      <c r="AO895" s="75"/>
      <c r="AP895" s="75"/>
      <c r="AQ895" s="75"/>
      <c r="AR895" s="75"/>
      <c r="AS895" s="75"/>
      <c r="AT895" s="75"/>
      <c r="AU895" s="75"/>
      <c r="AV895" s="75"/>
      <c r="AW895" s="75"/>
      <c r="AX895" s="75"/>
      <c r="AY895" s="75"/>
      <c r="AZ895" s="75"/>
      <c r="BA895" s="75"/>
      <c r="BO895" s="75"/>
      <c r="BP895" s="75"/>
      <c r="BQ895" s="75"/>
      <c r="BR895" s="75"/>
      <c r="BS895" s="75"/>
      <c r="BT895" s="75"/>
      <c r="BU895" s="75"/>
      <c r="BV895" s="75"/>
      <c r="BW895" s="75"/>
      <c r="BX895" s="75"/>
      <c r="BY895" s="75"/>
      <c r="BZ895" s="75"/>
      <c r="CA895" s="75"/>
      <c r="CB895" s="75"/>
      <c r="CC895" s="75"/>
      <c r="CD895" s="75"/>
      <c r="CE895" s="75"/>
      <c r="CF895" s="75"/>
      <c r="CG895" s="75"/>
      <c r="CH895" s="75"/>
      <c r="CI895" s="75"/>
      <c r="CJ895" s="75"/>
      <c r="CK895" s="75"/>
      <c r="CL895" s="75"/>
      <c r="CM895" s="75"/>
      <c r="CN895" s="75"/>
      <c r="CO895" s="75"/>
      <c r="CP895" s="75"/>
      <c r="CQ895" s="75"/>
      <c r="CR895" s="75"/>
      <c r="CS895" s="75"/>
    </row>
    <row r="896" spans="1:97" ht="12.75" customHeight="1">
      <c r="F896" s="117" t="s">
        <v>1052</v>
      </c>
      <c r="G896" s="91"/>
      <c r="H896" s="91"/>
      <c r="I896" s="91"/>
      <c r="J896" s="91"/>
      <c r="K896" s="91"/>
      <c r="L896" s="91"/>
      <c r="M896" s="91"/>
      <c r="N896" s="91"/>
      <c r="O896" s="91"/>
      <c r="P896" s="91"/>
      <c r="Q896" s="91"/>
      <c r="R896" s="91"/>
      <c r="S896" s="91"/>
      <c r="T896" s="92"/>
      <c r="U896" s="1756" t="s">
        <v>136</v>
      </c>
      <c r="V896" s="1757"/>
      <c r="W896" s="1757"/>
      <c r="X896" s="1757"/>
      <c r="Y896" s="1757"/>
      <c r="Z896" s="1758"/>
      <c r="AA896" s="1753"/>
      <c r="AB896" s="1754"/>
      <c r="AC896" s="1754"/>
      <c r="AD896" s="1754"/>
      <c r="AE896" s="1754"/>
      <c r="AF896" s="1755"/>
      <c r="AM896" s="75"/>
      <c r="AN896" s="75"/>
      <c r="AO896" s="75"/>
      <c r="AP896" s="75"/>
      <c r="AQ896" s="75"/>
      <c r="AR896" s="75"/>
      <c r="AS896" s="75"/>
      <c r="AT896" s="75"/>
      <c r="AU896" s="75"/>
      <c r="AV896" s="75"/>
      <c r="AW896" s="75"/>
      <c r="AX896" s="75"/>
      <c r="AY896" s="75"/>
      <c r="AZ896" s="75"/>
      <c r="BA896" s="75"/>
      <c r="BO896" s="75"/>
      <c r="BP896" s="75"/>
      <c r="BQ896" s="75"/>
      <c r="BR896" s="75"/>
      <c r="BS896" s="75"/>
      <c r="BT896" s="75"/>
      <c r="BU896" s="75"/>
      <c r="BV896" s="75"/>
      <c r="BW896" s="75"/>
      <c r="BX896" s="75"/>
      <c r="BY896" s="75"/>
      <c r="BZ896" s="75"/>
      <c r="CA896" s="75"/>
      <c r="CB896" s="75"/>
      <c r="CC896" s="75"/>
      <c r="CD896" s="75"/>
      <c r="CE896" s="75"/>
      <c r="CF896" s="75"/>
      <c r="CG896" s="75"/>
      <c r="CH896" s="75"/>
      <c r="CI896" s="75"/>
      <c r="CJ896" s="75"/>
      <c r="CK896" s="75"/>
      <c r="CL896" s="75"/>
      <c r="CM896" s="75"/>
      <c r="CN896" s="75"/>
      <c r="CO896" s="75"/>
      <c r="CP896" s="75"/>
      <c r="CQ896" s="75"/>
      <c r="CR896" s="75"/>
      <c r="CS896" s="75"/>
    </row>
    <row r="897" spans="1:97" ht="12.75" customHeight="1">
      <c r="F897" s="90" t="s">
        <v>176</v>
      </c>
      <c r="G897" s="91"/>
      <c r="H897" s="91"/>
      <c r="I897" s="91"/>
      <c r="J897" s="91"/>
      <c r="K897" s="91"/>
      <c r="L897" s="91"/>
      <c r="M897" s="91"/>
      <c r="N897" s="91"/>
      <c r="O897" s="91"/>
      <c r="P897" s="91"/>
      <c r="Q897" s="91"/>
      <c r="R897" s="91"/>
      <c r="S897" s="91"/>
      <c r="T897" s="92"/>
      <c r="U897" s="1756" t="s">
        <v>136</v>
      </c>
      <c r="V897" s="1757"/>
      <c r="W897" s="1757"/>
      <c r="X897" s="1757"/>
      <c r="Y897" s="1757"/>
      <c r="Z897" s="1758"/>
      <c r="AA897" s="1753"/>
      <c r="AB897" s="1754"/>
      <c r="AC897" s="1754"/>
      <c r="AD897" s="1754"/>
      <c r="AE897" s="1754"/>
      <c r="AF897" s="1755"/>
      <c r="AL897" s="269"/>
      <c r="AT897" s="75"/>
      <c r="AU897" s="75"/>
      <c r="AV897" s="75"/>
      <c r="BO897" s="75"/>
      <c r="BP897" s="75"/>
      <c r="BQ897" s="75"/>
      <c r="BR897" s="75"/>
      <c r="BS897" s="75"/>
      <c r="BT897" s="75"/>
      <c r="BU897" s="75"/>
      <c r="BV897" s="75"/>
      <c r="BW897" s="75"/>
      <c r="BX897" s="75"/>
      <c r="BY897" s="75"/>
      <c r="BZ897" s="75"/>
      <c r="CA897" s="75"/>
      <c r="CB897" s="75"/>
      <c r="CC897" s="75"/>
      <c r="CD897" s="75"/>
      <c r="CE897" s="75"/>
      <c r="CF897" s="75"/>
      <c r="CG897" s="75"/>
      <c r="CH897" s="75"/>
      <c r="CI897" s="75"/>
      <c r="CJ897" s="75"/>
      <c r="CK897" s="75"/>
      <c r="CL897" s="75"/>
      <c r="CM897" s="75"/>
      <c r="CN897" s="75"/>
      <c r="CO897" s="75"/>
      <c r="CP897" s="75"/>
      <c r="CQ897" s="75"/>
      <c r="CR897" s="75"/>
      <c r="CS897" s="75"/>
    </row>
    <row r="898" spans="1:97" ht="12.75" customHeight="1">
      <c r="F898" s="90" t="s">
        <v>178</v>
      </c>
      <c r="G898" s="91"/>
      <c r="H898" s="91"/>
      <c r="I898" s="91"/>
      <c r="J898" s="91"/>
      <c r="K898" s="91"/>
      <c r="L898" s="91"/>
      <c r="M898" s="91"/>
      <c r="N898" s="91"/>
      <c r="O898" s="91"/>
      <c r="P898" s="91"/>
      <c r="Q898" s="91"/>
      <c r="R898" s="91"/>
      <c r="S898" s="91"/>
      <c r="T898" s="92"/>
      <c r="U898" s="1756" t="s">
        <v>136</v>
      </c>
      <c r="V898" s="1757"/>
      <c r="W898" s="1757"/>
      <c r="X898" s="1757"/>
      <c r="Y898" s="1757"/>
      <c r="Z898" s="1758"/>
      <c r="AA898" s="1753"/>
      <c r="AB898" s="1754"/>
      <c r="AC898" s="1754"/>
      <c r="AD898" s="1754"/>
      <c r="AE898" s="1754"/>
      <c r="AF898" s="1755"/>
      <c r="AL898" s="269"/>
      <c r="AT898" s="75"/>
      <c r="AU898" s="75"/>
      <c r="AV898" s="75"/>
      <c r="BO898" s="75"/>
      <c r="BP898" s="75"/>
      <c r="BQ898" s="75"/>
      <c r="BR898" s="75"/>
      <c r="BS898" s="75"/>
      <c r="BT898" s="75"/>
      <c r="BU898" s="75"/>
      <c r="BV898" s="75"/>
      <c r="BW898" s="75"/>
      <c r="BX898" s="75"/>
      <c r="BY898" s="75"/>
      <c r="BZ898" s="75"/>
      <c r="CA898" s="75"/>
      <c r="CB898" s="75"/>
      <c r="CC898" s="75"/>
      <c r="CD898" s="75"/>
      <c r="CE898" s="75"/>
      <c r="CF898" s="75"/>
      <c r="CG898" s="75"/>
      <c r="CH898" s="75"/>
      <c r="CI898" s="75"/>
      <c r="CJ898" s="75"/>
      <c r="CK898" s="75"/>
      <c r="CL898" s="75"/>
      <c r="CM898" s="75"/>
      <c r="CN898" s="75"/>
      <c r="CO898" s="75"/>
      <c r="CP898" s="75"/>
      <c r="CQ898" s="75"/>
      <c r="CR898" s="75"/>
      <c r="CS898" s="75"/>
    </row>
    <row r="899" spans="1:97" ht="12.75" customHeight="1">
      <c r="F899" s="487" t="s">
        <v>174</v>
      </c>
      <c r="G899" s="91"/>
      <c r="H899" s="91"/>
      <c r="I899" s="91"/>
      <c r="J899" s="91"/>
      <c r="K899" s="91"/>
      <c r="L899" s="91"/>
      <c r="M899" s="91"/>
      <c r="N899" s="91"/>
      <c r="O899" s="91"/>
      <c r="P899" s="91"/>
      <c r="Q899" s="91"/>
      <c r="R899" s="91"/>
      <c r="S899" s="91"/>
      <c r="T899" s="92"/>
      <c r="U899" s="1756" t="s">
        <v>136</v>
      </c>
      <c r="V899" s="1757"/>
      <c r="W899" s="1757"/>
      <c r="X899" s="1757"/>
      <c r="Y899" s="1757"/>
      <c r="Z899" s="1758"/>
      <c r="AA899" s="1753"/>
      <c r="AB899" s="1754"/>
      <c r="AC899" s="1754"/>
      <c r="AD899" s="1754"/>
      <c r="AE899" s="1754"/>
      <c r="AF899" s="1755"/>
      <c r="AL899" s="119"/>
      <c r="AT899" s="75"/>
      <c r="AU899" s="75"/>
      <c r="AV899" s="75"/>
      <c r="BH899" s="70"/>
      <c r="BO899" s="75"/>
      <c r="BP899" s="75"/>
      <c r="BQ899" s="75"/>
      <c r="BR899" s="75"/>
      <c r="BS899" s="75"/>
      <c r="BT899" s="75"/>
      <c r="BU899" s="75"/>
      <c r="BV899" s="75"/>
      <c r="BW899" s="75"/>
      <c r="BX899" s="75"/>
      <c r="BY899" s="75"/>
      <c r="BZ899" s="75"/>
      <c r="CA899" s="75"/>
      <c r="CB899" s="75"/>
      <c r="CC899" s="75"/>
      <c r="CD899" s="75"/>
      <c r="CE899" s="75"/>
      <c r="CF899" s="75"/>
      <c r="CG899" s="75"/>
      <c r="CH899" s="75"/>
      <c r="CI899" s="75"/>
      <c r="CJ899" s="75"/>
      <c r="CK899" s="75"/>
      <c r="CL899" s="75"/>
      <c r="CM899" s="75"/>
      <c r="CN899" s="75"/>
      <c r="CO899" s="75"/>
      <c r="CP899" s="75"/>
      <c r="CQ899" s="75"/>
      <c r="CR899" s="75"/>
      <c r="CS899" s="75"/>
    </row>
    <row r="900" spans="1:97" ht="12.75" customHeight="1">
      <c r="F900" s="90" t="s">
        <v>2178</v>
      </c>
      <c r="G900" s="91"/>
      <c r="H900" s="91"/>
      <c r="I900" s="91"/>
      <c r="J900" s="91"/>
      <c r="K900" s="91"/>
      <c r="L900" s="91"/>
      <c r="M900" s="91"/>
      <c r="N900" s="91"/>
      <c r="O900" s="91"/>
      <c r="P900" s="91"/>
      <c r="Q900" s="91"/>
      <c r="R900" s="91"/>
      <c r="S900" s="91"/>
      <c r="T900" s="92"/>
      <c r="U900" s="1756" t="s">
        <v>136</v>
      </c>
      <c r="V900" s="1757"/>
      <c r="W900" s="1757"/>
      <c r="X900" s="1757"/>
      <c r="Y900" s="1757"/>
      <c r="Z900" s="1758"/>
      <c r="AA900" s="1753"/>
      <c r="AB900" s="1754"/>
      <c r="AC900" s="1754"/>
      <c r="AD900" s="1754"/>
      <c r="AE900" s="1754"/>
      <c r="AF900" s="1755"/>
      <c r="AL900" s="119"/>
      <c r="AT900" s="75"/>
      <c r="AU900" s="75"/>
      <c r="AV900" s="75"/>
      <c r="BH900" s="70"/>
      <c r="BO900" s="75"/>
      <c r="BP900" s="75"/>
      <c r="BQ900" s="75"/>
      <c r="BR900" s="75"/>
      <c r="BS900" s="75"/>
      <c r="BT900" s="75"/>
      <c r="BU900" s="75"/>
      <c r="BV900" s="75"/>
      <c r="BW900" s="75"/>
      <c r="BX900" s="75"/>
      <c r="BY900" s="75"/>
      <c r="BZ900" s="75"/>
      <c r="CA900" s="75"/>
      <c r="CB900" s="75"/>
      <c r="CC900" s="75"/>
      <c r="CD900" s="75"/>
      <c r="CE900" s="75"/>
      <c r="CF900" s="75"/>
      <c r="CG900" s="75"/>
      <c r="CH900" s="75"/>
      <c r="CI900" s="75"/>
      <c r="CJ900" s="75"/>
      <c r="CK900" s="75"/>
      <c r="CL900" s="75"/>
      <c r="CM900" s="75"/>
      <c r="CN900" s="75"/>
      <c r="CO900" s="75"/>
      <c r="CP900" s="75"/>
      <c r="CQ900" s="75"/>
      <c r="CR900" s="75"/>
      <c r="CS900" s="75"/>
    </row>
    <row r="901" spans="1:97" ht="12.75" customHeight="1">
      <c r="F901" s="117" t="s">
        <v>1112</v>
      </c>
      <c r="G901" s="91"/>
      <c r="H901" s="91"/>
      <c r="I901" s="91"/>
      <c r="J901" s="91"/>
      <c r="K901" s="91"/>
      <c r="L901" s="91"/>
      <c r="M901" s="91"/>
      <c r="N901" s="91"/>
      <c r="O901" s="91"/>
      <c r="P901" s="91"/>
      <c r="Q901" s="91"/>
      <c r="R901" s="91"/>
      <c r="S901" s="91"/>
      <c r="T901" s="92"/>
      <c r="U901" s="1756" t="s">
        <v>136</v>
      </c>
      <c r="V901" s="1757"/>
      <c r="W901" s="1757"/>
      <c r="X901" s="1757"/>
      <c r="Y901" s="1757"/>
      <c r="Z901" s="1758"/>
      <c r="AA901" s="1753"/>
      <c r="AB901" s="1754"/>
      <c r="AC901" s="1754"/>
      <c r="AD901" s="1754"/>
      <c r="AE901" s="1754"/>
      <c r="AF901" s="1755"/>
      <c r="AL901" s="119"/>
      <c r="AT901" s="75"/>
      <c r="AU901" s="75"/>
      <c r="AV901" s="75"/>
      <c r="BD901" s="75"/>
      <c r="BE901" s="75"/>
      <c r="BF901" s="75"/>
      <c r="BG901" s="75"/>
      <c r="BH901" s="75"/>
      <c r="BI901" s="75"/>
      <c r="BJ901" s="75"/>
      <c r="BK901" s="75"/>
      <c r="BL901" s="75"/>
      <c r="BM901" s="75"/>
      <c r="BN901" s="75"/>
      <c r="BO901" s="75"/>
      <c r="BP901" s="75"/>
      <c r="BQ901" s="75"/>
      <c r="BR901" s="75"/>
      <c r="BS901" s="75"/>
      <c r="BT901" s="75"/>
      <c r="BU901" s="75"/>
      <c r="BV901" s="75"/>
      <c r="BW901" s="75"/>
      <c r="BX901" s="75"/>
      <c r="BY901" s="75"/>
      <c r="BZ901" s="75"/>
      <c r="CA901" s="75"/>
      <c r="CB901" s="75"/>
      <c r="CC901" s="75"/>
      <c r="CD901" s="75"/>
      <c r="CE901" s="75"/>
      <c r="CF901" s="75"/>
      <c r="CG901" s="75"/>
      <c r="CH901" s="75"/>
      <c r="CI901" s="75"/>
      <c r="CJ901" s="75"/>
      <c r="CK901" s="75"/>
      <c r="CL901" s="75"/>
      <c r="CM901" s="75"/>
      <c r="CN901" s="75"/>
      <c r="CO901" s="75"/>
      <c r="CP901" s="75"/>
      <c r="CQ901" s="75"/>
      <c r="CR901" s="75"/>
      <c r="CS901" s="75"/>
    </row>
    <row r="902" spans="1:97" ht="12.75" customHeight="1">
      <c r="F902" s="90" t="s">
        <v>1113</v>
      </c>
      <c r="G902" s="275"/>
      <c r="H902" s="275"/>
      <c r="I902" s="275"/>
      <c r="J902" s="275"/>
      <c r="K902" s="275"/>
      <c r="L902" s="275"/>
      <c r="M902" s="275"/>
      <c r="N902" s="275"/>
      <c r="O902" s="275"/>
      <c r="P902" s="275"/>
      <c r="Q902" s="275"/>
      <c r="R902" s="275"/>
      <c r="S902" s="275"/>
      <c r="T902" s="581"/>
      <c r="U902" s="1876" t="s">
        <v>136</v>
      </c>
      <c r="V902" s="1877"/>
      <c r="W902" s="1877"/>
      <c r="X902" s="1877"/>
      <c r="Y902" s="1877"/>
      <c r="Z902" s="2105"/>
      <c r="AA902" s="2106"/>
      <c r="AB902" s="2107"/>
      <c r="AC902" s="2107"/>
      <c r="AD902" s="2107"/>
      <c r="AE902" s="2107"/>
      <c r="AF902" s="2108"/>
      <c r="AL902" s="119"/>
      <c r="AT902" s="75"/>
      <c r="AU902" s="75"/>
      <c r="AV902" s="75"/>
      <c r="BD902" s="75"/>
      <c r="BE902" s="75"/>
      <c r="BF902" s="75"/>
      <c r="BG902" s="75"/>
      <c r="BH902" s="75"/>
      <c r="BI902" s="75"/>
      <c r="BJ902" s="75"/>
      <c r="BK902" s="75"/>
      <c r="BL902" s="75"/>
      <c r="BM902" s="75"/>
      <c r="BN902" s="75"/>
      <c r="BO902" s="75"/>
      <c r="BP902" s="75"/>
      <c r="BQ902" s="75"/>
      <c r="BR902" s="75"/>
      <c r="BS902" s="75"/>
      <c r="BT902" s="75"/>
      <c r="BU902" s="75"/>
      <c r="BV902" s="75"/>
      <c r="BW902" s="75"/>
      <c r="BX902" s="75"/>
      <c r="BY902" s="75"/>
      <c r="BZ902" s="75"/>
      <c r="CA902" s="75"/>
      <c r="CB902" s="75"/>
      <c r="CC902" s="75"/>
      <c r="CD902" s="75"/>
      <c r="CE902" s="75"/>
      <c r="CF902" s="75"/>
      <c r="CG902" s="75"/>
      <c r="CH902" s="75"/>
      <c r="CI902" s="75"/>
      <c r="CJ902" s="75"/>
      <c r="CK902" s="75"/>
      <c r="CL902" s="75"/>
      <c r="CM902" s="75"/>
      <c r="CN902" s="75"/>
      <c r="CO902" s="75"/>
      <c r="CP902" s="75"/>
      <c r="CQ902" s="75"/>
      <c r="CR902" s="75"/>
      <c r="CS902" s="75"/>
    </row>
    <row r="903" spans="1:97" ht="12.75" customHeight="1">
      <c r="F903" s="334" t="s">
        <v>2176</v>
      </c>
      <c r="G903" s="91"/>
      <c r="H903" s="91"/>
      <c r="I903" s="91"/>
      <c r="J903" s="91"/>
      <c r="K903" s="91"/>
      <c r="L903" s="91"/>
      <c r="M903" s="91"/>
      <c r="N903" s="91"/>
      <c r="O903" s="91"/>
      <c r="P903" s="91"/>
      <c r="Q903" s="91"/>
      <c r="R903" s="91"/>
      <c r="S903" s="91"/>
      <c r="T903" s="92"/>
      <c r="U903" s="1756" t="s">
        <v>136</v>
      </c>
      <c r="V903" s="1757"/>
      <c r="W903" s="1757"/>
      <c r="X903" s="1757"/>
      <c r="Y903" s="1757"/>
      <c r="Z903" s="1758"/>
      <c r="AA903" s="1753"/>
      <c r="AB903" s="1754"/>
      <c r="AC903" s="1754"/>
      <c r="AD903" s="1754"/>
      <c r="AE903" s="1754"/>
      <c r="AF903" s="1755"/>
      <c r="AL903" s="119"/>
      <c r="AT903" s="75"/>
      <c r="AU903" s="75"/>
      <c r="AV903" s="75"/>
      <c r="BD903" s="75"/>
      <c r="BE903" s="75"/>
      <c r="BF903" s="75"/>
      <c r="BG903" s="75"/>
      <c r="BH903" s="75"/>
      <c r="BI903" s="75"/>
      <c r="BJ903" s="75"/>
      <c r="BK903" s="75"/>
      <c r="BL903" s="75"/>
      <c r="BM903" s="75"/>
      <c r="BN903" s="75"/>
      <c r="BO903" s="75"/>
      <c r="BP903" s="75"/>
      <c r="BQ903" s="75"/>
      <c r="BR903" s="75"/>
      <c r="BS903" s="75"/>
      <c r="BT903" s="75"/>
      <c r="BU903" s="75"/>
      <c r="BV903" s="75"/>
      <c r="BW903" s="75"/>
      <c r="BX903" s="75"/>
      <c r="BY903" s="75"/>
      <c r="BZ903" s="75"/>
      <c r="CA903" s="75"/>
      <c r="CB903" s="75"/>
      <c r="CC903" s="75"/>
      <c r="CD903" s="75"/>
      <c r="CE903" s="75"/>
      <c r="CF903" s="75"/>
      <c r="CG903" s="75"/>
      <c r="CH903" s="75"/>
      <c r="CI903" s="75"/>
      <c r="CJ903" s="75"/>
      <c r="CK903" s="75"/>
      <c r="CL903" s="75"/>
      <c r="CM903" s="75"/>
      <c r="CN903" s="75"/>
      <c r="CO903" s="75"/>
      <c r="CP903" s="75"/>
      <c r="CQ903" s="75"/>
      <c r="CR903" s="75"/>
      <c r="CS903" s="75"/>
    </row>
    <row r="904" spans="1:97" ht="12.75" customHeight="1">
      <c r="F904" s="334" t="s">
        <v>2177</v>
      </c>
      <c r="G904" s="91"/>
      <c r="H904" s="91"/>
      <c r="I904" s="91"/>
      <c r="J904" s="91"/>
      <c r="K904" s="91"/>
      <c r="L904" s="91"/>
      <c r="M904" s="91"/>
      <c r="N904" s="91"/>
      <c r="O904" s="91"/>
      <c r="P904" s="91"/>
      <c r="Q904" s="91"/>
      <c r="R904" s="91"/>
      <c r="S904" s="91"/>
      <c r="T904" s="92"/>
      <c r="U904" s="1756" t="s">
        <v>136</v>
      </c>
      <c r="V904" s="1757"/>
      <c r="W904" s="1757"/>
      <c r="X904" s="1757"/>
      <c r="Y904" s="1757"/>
      <c r="Z904" s="1758"/>
      <c r="AA904" s="1753"/>
      <c r="AB904" s="1754"/>
      <c r="AC904" s="1754"/>
      <c r="AD904" s="1754"/>
      <c r="AE904" s="1754"/>
      <c r="AF904" s="1755"/>
      <c r="AL904" s="119"/>
      <c r="AT904" s="75"/>
      <c r="AU904" s="75"/>
      <c r="AV904" s="75"/>
      <c r="BD904" s="75"/>
      <c r="BE904" s="75"/>
      <c r="BF904" s="75"/>
      <c r="BG904" s="75"/>
      <c r="BH904" s="75"/>
      <c r="BI904" s="75"/>
      <c r="BJ904" s="75"/>
      <c r="BK904" s="75"/>
      <c r="BL904" s="75"/>
      <c r="BM904" s="75"/>
      <c r="BN904" s="75"/>
      <c r="BO904" s="75"/>
      <c r="BP904" s="75"/>
      <c r="BQ904" s="75"/>
      <c r="BR904" s="75"/>
      <c r="BS904" s="75"/>
      <c r="BT904" s="75"/>
      <c r="BU904" s="75"/>
      <c r="BV904" s="75"/>
      <c r="BW904" s="75"/>
      <c r="BX904" s="75"/>
      <c r="BY904" s="75"/>
      <c r="BZ904" s="75"/>
      <c r="CA904" s="75"/>
      <c r="CB904" s="75"/>
      <c r="CC904" s="75"/>
      <c r="CD904" s="75"/>
      <c r="CE904" s="75"/>
      <c r="CF904" s="75"/>
      <c r="CG904" s="75"/>
      <c r="CH904" s="75"/>
      <c r="CI904" s="75"/>
      <c r="CJ904" s="75"/>
      <c r="CK904" s="75"/>
      <c r="CL904" s="75"/>
      <c r="CM904" s="75"/>
      <c r="CN904" s="75"/>
      <c r="CO904" s="75"/>
      <c r="CP904" s="75"/>
      <c r="CQ904" s="75"/>
      <c r="CR904" s="75"/>
      <c r="CS904" s="75"/>
    </row>
    <row r="905" spans="1:97" ht="12.75" customHeight="1">
      <c r="F905" s="334" t="s">
        <v>173</v>
      </c>
      <c r="G905" s="91"/>
      <c r="H905" s="91"/>
      <c r="I905" s="91"/>
      <c r="J905" s="91"/>
      <c r="K905" s="91"/>
      <c r="L905" s="91"/>
      <c r="M905" s="91"/>
      <c r="N905" s="91"/>
      <c r="O905" s="91"/>
      <c r="P905" s="91"/>
      <c r="Q905" s="91"/>
      <c r="R905" s="91"/>
      <c r="S905" s="91"/>
      <c r="T905" s="92"/>
      <c r="U905" s="1756" t="s">
        <v>136</v>
      </c>
      <c r="V905" s="1757"/>
      <c r="W905" s="1757"/>
      <c r="X905" s="1757"/>
      <c r="Y905" s="1757"/>
      <c r="Z905" s="1758"/>
      <c r="AA905" s="1753"/>
      <c r="AB905" s="1754"/>
      <c r="AC905" s="1754"/>
      <c r="AD905" s="1754"/>
      <c r="AE905" s="1754"/>
      <c r="AF905" s="1755"/>
      <c r="AL905" s="119"/>
      <c r="AT905" s="75"/>
      <c r="AU905" s="75"/>
      <c r="AV905" s="75"/>
      <c r="BD905" s="75"/>
      <c r="BE905" s="75"/>
      <c r="BF905" s="75"/>
      <c r="BG905" s="75"/>
      <c r="BH905" s="75"/>
      <c r="BI905" s="75"/>
      <c r="BJ905" s="75"/>
      <c r="BK905" s="75"/>
      <c r="BL905" s="75"/>
      <c r="BM905" s="75"/>
      <c r="BN905" s="75"/>
      <c r="BO905" s="75"/>
      <c r="BP905" s="75"/>
      <c r="BQ905" s="75"/>
      <c r="BR905" s="75"/>
      <c r="BS905" s="75"/>
      <c r="BT905" s="75"/>
      <c r="BU905" s="75"/>
      <c r="BV905" s="75"/>
      <c r="BW905" s="75"/>
      <c r="BX905" s="75"/>
      <c r="BY905" s="75"/>
      <c r="BZ905" s="75"/>
      <c r="CA905" s="75"/>
      <c r="CB905" s="75"/>
      <c r="CC905" s="75"/>
      <c r="CD905" s="75"/>
      <c r="CE905" s="75"/>
      <c r="CF905" s="75"/>
      <c r="CG905" s="75"/>
      <c r="CH905" s="75"/>
      <c r="CI905" s="75"/>
      <c r="CJ905" s="75"/>
      <c r="CK905" s="75"/>
      <c r="CL905" s="75"/>
      <c r="CM905" s="75"/>
      <c r="CN905" s="75"/>
      <c r="CO905" s="75"/>
      <c r="CP905" s="75"/>
      <c r="CQ905" s="75"/>
      <c r="CR905" s="75"/>
      <c r="CS905" s="75"/>
    </row>
    <row r="906" spans="1:97" ht="12.75" customHeight="1">
      <c r="F906" s="90" t="s">
        <v>1131</v>
      </c>
      <c r="G906" s="91"/>
      <c r="H906" s="91"/>
      <c r="I906" s="91"/>
      <c r="J906" s="91"/>
      <c r="K906" s="91"/>
      <c r="L906" s="91"/>
      <c r="M906" s="91"/>
      <c r="N906" s="91"/>
      <c r="O906" s="91"/>
      <c r="P906" s="1775" t="s">
        <v>531</v>
      </c>
      <c r="Q906" s="1757"/>
      <c r="R906" s="1757"/>
      <c r="S906" s="1757"/>
      <c r="T906" s="1758"/>
      <c r="U906" s="1756" t="s">
        <v>136</v>
      </c>
      <c r="V906" s="1757"/>
      <c r="W906" s="1757"/>
      <c r="X906" s="1757"/>
      <c r="Y906" s="1757"/>
      <c r="Z906" s="1758"/>
      <c r="AA906" s="1753"/>
      <c r="AB906" s="1754"/>
      <c r="AC906" s="1754"/>
      <c r="AD906" s="1754"/>
      <c r="AE906" s="1754"/>
      <c r="AF906" s="1755"/>
      <c r="AL906" s="119"/>
      <c r="AT906" s="75"/>
      <c r="AU906" s="75"/>
      <c r="AV906" s="75"/>
      <c r="BD906" s="75"/>
      <c r="BE906" s="75"/>
      <c r="BF906" s="75"/>
      <c r="BG906" s="75"/>
      <c r="BH906" s="75"/>
      <c r="BI906" s="75"/>
      <c r="BJ906" s="75"/>
      <c r="BK906" s="75"/>
      <c r="BL906" s="75"/>
      <c r="BM906" s="75"/>
      <c r="BN906" s="75"/>
      <c r="BO906" s="75"/>
      <c r="BP906" s="75"/>
      <c r="BQ906" s="75"/>
      <c r="BR906" s="75"/>
      <c r="BS906" s="75"/>
      <c r="BT906" s="75"/>
      <c r="BU906" s="75"/>
      <c r="BV906" s="75"/>
      <c r="BW906" s="75"/>
      <c r="BX906" s="75"/>
      <c r="BY906" s="75"/>
      <c r="BZ906" s="75"/>
      <c r="CA906" s="75"/>
      <c r="CB906" s="75"/>
      <c r="CC906" s="75"/>
      <c r="CD906" s="75"/>
      <c r="CE906" s="75"/>
      <c r="CF906" s="75"/>
      <c r="CG906" s="75"/>
      <c r="CH906" s="75"/>
      <c r="CI906" s="75"/>
      <c r="CJ906" s="75"/>
      <c r="CK906" s="75"/>
      <c r="CL906" s="75"/>
      <c r="CM906" s="75"/>
      <c r="CN906" s="75"/>
      <c r="CO906" s="75"/>
      <c r="CP906" s="75"/>
      <c r="CQ906" s="75"/>
      <c r="CR906" s="75"/>
      <c r="CS906" s="75"/>
    </row>
    <row r="907" spans="1:97" ht="12.75" customHeight="1">
      <c r="F907" s="90" t="s">
        <v>417</v>
      </c>
      <c r="G907" s="94"/>
      <c r="H907" s="94"/>
      <c r="I907" s="2102" t="s">
        <v>2443</v>
      </c>
      <c r="J907" s="2103"/>
      <c r="K907" s="2103"/>
      <c r="L907" s="2103"/>
      <c r="M907" s="2103"/>
      <c r="N907" s="2103"/>
      <c r="O907" s="2103"/>
      <c r="P907" s="2103"/>
      <c r="Q907" s="2103"/>
      <c r="R907" s="2103"/>
      <c r="S907" s="2103"/>
      <c r="T907" s="2104"/>
      <c r="U907" s="1756" t="s">
        <v>119</v>
      </c>
      <c r="V907" s="1757"/>
      <c r="W907" s="1757"/>
      <c r="X907" s="1757"/>
      <c r="Y907" s="1757"/>
      <c r="Z907" s="1758"/>
      <c r="AA907" s="1753">
        <v>3499685</v>
      </c>
      <c r="AB907" s="1754"/>
      <c r="AC907" s="1754"/>
      <c r="AD907" s="1754"/>
      <c r="AE907" s="1754"/>
      <c r="AF907" s="1755"/>
      <c r="AL907" s="119"/>
      <c r="AT907" s="75"/>
      <c r="AU907" s="75"/>
      <c r="AV907" s="75"/>
      <c r="BD907" s="75"/>
      <c r="BE907" s="75"/>
      <c r="BF907" s="75"/>
      <c r="BG907" s="75"/>
      <c r="BH907" s="75"/>
      <c r="BI907" s="75"/>
      <c r="BJ907" s="75"/>
      <c r="BK907" s="75"/>
      <c r="BL907" s="75"/>
      <c r="BM907" s="75"/>
      <c r="BN907" s="75"/>
      <c r="BO907" s="75"/>
      <c r="BP907" s="75"/>
      <c r="BQ907" s="75"/>
      <c r="BR907" s="75"/>
      <c r="BS907" s="75"/>
      <c r="BT907" s="75"/>
      <c r="BU907" s="75"/>
      <c r="BV907" s="75"/>
      <c r="BW907" s="75"/>
      <c r="BX907" s="75"/>
      <c r="BY907" s="75"/>
      <c r="BZ907" s="75"/>
      <c r="CA907" s="75"/>
      <c r="CB907" s="75"/>
      <c r="CC907" s="75"/>
      <c r="CD907" s="75"/>
      <c r="CE907" s="75"/>
      <c r="CF907" s="75"/>
      <c r="CG907" s="75"/>
      <c r="CH907" s="75"/>
      <c r="CI907" s="75"/>
      <c r="CJ907" s="75"/>
      <c r="CK907" s="75"/>
      <c r="CL907" s="75"/>
      <c r="CM907" s="75"/>
      <c r="CN907" s="75"/>
      <c r="CO907" s="75"/>
      <c r="CP907" s="75"/>
      <c r="CQ907" s="75"/>
      <c r="CR907" s="75"/>
      <c r="CS907" s="75"/>
    </row>
    <row r="908" spans="1:97" ht="12.75" customHeight="1">
      <c r="F908" s="90" t="s">
        <v>908</v>
      </c>
      <c r="G908" s="94"/>
      <c r="H908" s="94"/>
      <c r="I908" s="2102" t="s">
        <v>2419</v>
      </c>
      <c r="J908" s="2103"/>
      <c r="K908" s="2103"/>
      <c r="L908" s="2103"/>
      <c r="M908" s="2103"/>
      <c r="N908" s="2103"/>
      <c r="O908" s="2103"/>
      <c r="P908" s="2103"/>
      <c r="Q908" s="2103"/>
      <c r="R908" s="2103"/>
      <c r="S908" s="2103"/>
      <c r="T908" s="2104"/>
      <c r="U908" s="1756" t="s">
        <v>119</v>
      </c>
      <c r="V908" s="1757"/>
      <c r="W908" s="1757"/>
      <c r="X908" s="1757"/>
      <c r="Y908" s="1757"/>
      <c r="Z908" s="1758"/>
      <c r="AA908" s="1753">
        <v>1833700</v>
      </c>
      <c r="AB908" s="1754"/>
      <c r="AC908" s="1754"/>
      <c r="AD908" s="1754"/>
      <c r="AE908" s="1754"/>
      <c r="AF908" s="1755"/>
      <c r="AL908" s="119"/>
      <c r="AT908" s="75"/>
      <c r="AU908" s="75"/>
      <c r="AV908" s="75"/>
      <c r="BD908" s="75"/>
      <c r="BE908" s="75"/>
      <c r="BF908" s="75"/>
      <c r="BG908" s="75"/>
      <c r="BH908" s="75"/>
      <c r="BI908" s="75"/>
      <c r="BJ908" s="75"/>
      <c r="BK908" s="75"/>
      <c r="BL908" s="75"/>
      <c r="BM908" s="75"/>
      <c r="BN908" s="75"/>
      <c r="BO908" s="75"/>
      <c r="BP908" s="75"/>
      <c r="BQ908" s="75"/>
      <c r="BR908" s="75"/>
      <c r="BS908" s="75"/>
      <c r="BT908" s="75"/>
      <c r="BU908" s="75"/>
      <c r="BV908" s="75"/>
      <c r="BW908" s="75"/>
      <c r="BX908" s="75"/>
      <c r="BY908" s="75"/>
      <c r="BZ908" s="75"/>
      <c r="CA908" s="75"/>
      <c r="CB908" s="75"/>
      <c r="CC908" s="75"/>
      <c r="CD908" s="75"/>
      <c r="CE908" s="75"/>
      <c r="CF908" s="75"/>
      <c r="CG908" s="75"/>
      <c r="CH908" s="75"/>
      <c r="CI908" s="75"/>
      <c r="CJ908" s="75"/>
      <c r="CK908" s="75"/>
      <c r="CL908" s="75"/>
      <c r="CM908" s="75"/>
      <c r="CN908" s="75"/>
      <c r="CO908" s="75"/>
      <c r="CP908" s="75"/>
      <c r="CQ908" s="75"/>
      <c r="CR908" s="75"/>
      <c r="CS908" s="75"/>
    </row>
    <row r="909" spans="1:97" ht="12.75" customHeight="1">
      <c r="F909" s="93" t="s">
        <v>311</v>
      </c>
      <c r="G909" s="94"/>
      <c r="H909" s="94"/>
      <c r="I909" s="2102" t="s">
        <v>2444</v>
      </c>
      <c r="J909" s="2103"/>
      <c r="K909" s="2103"/>
      <c r="L909" s="2103"/>
      <c r="M909" s="2103"/>
      <c r="N909" s="2103"/>
      <c r="O909" s="2103"/>
      <c r="P909" s="2103"/>
      <c r="Q909" s="2103"/>
      <c r="R909" s="2103"/>
      <c r="S909" s="2103"/>
      <c r="T909" s="2104"/>
      <c r="U909" s="1756" t="s">
        <v>531</v>
      </c>
      <c r="V909" s="1757"/>
      <c r="W909" s="1757"/>
      <c r="X909" s="1757"/>
      <c r="Y909" s="1757"/>
      <c r="Z909" s="1758"/>
      <c r="AA909" s="1753">
        <v>1950402</v>
      </c>
      <c r="AB909" s="1754"/>
      <c r="AC909" s="1754"/>
      <c r="AD909" s="1754"/>
      <c r="AE909" s="1754"/>
      <c r="AF909" s="1755"/>
      <c r="AL909" s="119"/>
      <c r="AT909" s="75"/>
      <c r="AU909" s="75"/>
      <c r="AV909" s="75"/>
      <c r="BD909" s="75"/>
      <c r="BE909" s="75"/>
      <c r="BF909" s="75"/>
      <c r="BG909" s="75"/>
      <c r="BH909" s="75"/>
      <c r="BI909" s="75"/>
      <c r="BJ909" s="75"/>
      <c r="BK909" s="75"/>
      <c r="BL909" s="75"/>
      <c r="BM909" s="75"/>
      <c r="BN909" s="75"/>
      <c r="BO909" s="75"/>
      <c r="BP909" s="75"/>
      <c r="BQ909" s="75"/>
      <c r="BR909" s="75"/>
      <c r="BS909" s="75"/>
      <c r="BT909" s="75"/>
      <c r="BU909" s="75"/>
      <c r="BV909" s="75"/>
      <c r="BW909" s="75"/>
      <c r="BX909" s="75"/>
      <c r="BY909" s="75"/>
      <c r="BZ909" s="75"/>
      <c r="CA909" s="75"/>
      <c r="CB909" s="75"/>
      <c r="CC909" s="75"/>
      <c r="CD909" s="75"/>
      <c r="CE909" s="75"/>
      <c r="CF909" s="75"/>
      <c r="CG909" s="75"/>
      <c r="CH909" s="75"/>
      <c r="CI909" s="75"/>
      <c r="CJ909" s="75"/>
      <c r="CK909" s="75"/>
      <c r="CL909" s="75"/>
      <c r="CM909" s="75"/>
      <c r="CN909" s="75"/>
      <c r="CO909" s="75"/>
      <c r="CP909" s="75"/>
      <c r="CQ909" s="75"/>
      <c r="CR909" s="75"/>
      <c r="CS909" s="75"/>
    </row>
    <row r="910" spans="1:97" ht="12.75" customHeight="1">
      <c r="A910" s="65"/>
      <c r="F910" s="93" t="s">
        <v>311</v>
      </c>
      <c r="G910" s="94"/>
      <c r="H910" s="94"/>
      <c r="I910" s="2102" t="s">
        <v>2445</v>
      </c>
      <c r="J910" s="2103"/>
      <c r="K910" s="2103"/>
      <c r="L910" s="2103"/>
      <c r="M910" s="2103"/>
      <c r="N910" s="2103"/>
      <c r="O910" s="2103"/>
      <c r="P910" s="2103"/>
      <c r="Q910" s="2103"/>
      <c r="R910" s="2103"/>
      <c r="S910" s="2103"/>
      <c r="T910" s="2104"/>
      <c r="U910" s="1756" t="s">
        <v>119</v>
      </c>
      <c r="V910" s="1757"/>
      <c r="W910" s="1757"/>
      <c r="X910" s="1757"/>
      <c r="Y910" s="1757"/>
      <c r="Z910" s="1758"/>
      <c r="AA910" s="1753">
        <v>1000000</v>
      </c>
      <c r="AB910" s="1754"/>
      <c r="AC910" s="1754"/>
      <c r="AD910" s="1754"/>
      <c r="AE910" s="1754"/>
      <c r="AF910" s="1755"/>
      <c r="AL910" s="119"/>
      <c r="AT910" s="75"/>
      <c r="AU910" s="75"/>
      <c r="AV910" s="75"/>
      <c r="BD910" s="75"/>
      <c r="BE910" s="75"/>
      <c r="BF910" s="75"/>
      <c r="BG910" s="75"/>
      <c r="BH910" s="75"/>
      <c r="BI910" s="75"/>
      <c r="BJ910" s="75"/>
      <c r="BK910" s="75"/>
      <c r="BL910" s="75"/>
      <c r="BM910" s="75"/>
      <c r="BN910" s="75"/>
      <c r="BO910" s="75"/>
      <c r="BP910" s="75"/>
      <c r="BQ910" s="75"/>
      <c r="BR910" s="75"/>
      <c r="BS910" s="75"/>
      <c r="BT910" s="75"/>
      <c r="BU910" s="75"/>
      <c r="BV910" s="75"/>
      <c r="BW910" s="75"/>
      <c r="BX910" s="75"/>
      <c r="BY910" s="75"/>
      <c r="BZ910" s="75"/>
      <c r="CA910" s="75"/>
      <c r="CB910" s="75"/>
      <c r="CC910" s="75"/>
      <c r="CD910" s="75"/>
      <c r="CE910" s="75"/>
      <c r="CF910" s="75"/>
      <c r="CG910" s="75"/>
      <c r="CH910" s="75"/>
      <c r="CI910" s="75"/>
      <c r="CJ910" s="75"/>
      <c r="CK910" s="75"/>
      <c r="CL910" s="75"/>
      <c r="CM910" s="75"/>
      <c r="CN910" s="75"/>
      <c r="CO910" s="75"/>
      <c r="CP910" s="75"/>
      <c r="CQ910" s="75"/>
      <c r="CR910" s="75"/>
      <c r="CS910" s="75"/>
    </row>
    <row r="911" spans="1:97" ht="12.75" customHeight="1">
      <c r="AL911" s="119"/>
      <c r="AT911" s="75"/>
      <c r="AU911" s="75"/>
      <c r="AV911" s="75"/>
      <c r="BD911" s="75"/>
      <c r="BE911" s="75"/>
      <c r="BF911" s="75"/>
      <c r="BG911" s="75"/>
      <c r="BH911" s="75"/>
      <c r="BI911" s="75"/>
      <c r="BJ911" s="75"/>
      <c r="BK911" s="75"/>
      <c r="BL911" s="75"/>
      <c r="BM911" s="75"/>
      <c r="BN911" s="75"/>
      <c r="BO911" s="75"/>
      <c r="BP911" s="75"/>
      <c r="BQ911" s="75"/>
      <c r="BR911" s="75"/>
      <c r="BS911" s="75"/>
      <c r="BT911" s="75"/>
      <c r="BU911" s="75"/>
      <c r="BV911" s="75"/>
      <c r="BW911" s="75"/>
      <c r="BX911" s="75"/>
      <c r="BY911" s="75"/>
      <c r="BZ911" s="75"/>
      <c r="CA911" s="75"/>
      <c r="CB911" s="75"/>
      <c r="CC911" s="75"/>
      <c r="CD911" s="75"/>
      <c r="CE911" s="75"/>
      <c r="CF911" s="75"/>
      <c r="CG911" s="75"/>
      <c r="CH911" s="75"/>
      <c r="CI911" s="75"/>
      <c r="CJ911" s="75"/>
      <c r="CK911" s="75"/>
      <c r="CL911" s="75"/>
      <c r="CM911" s="75"/>
      <c r="CN911" s="75"/>
      <c r="CO911" s="75"/>
      <c r="CP911" s="75"/>
      <c r="CQ911" s="75"/>
      <c r="CR911" s="75"/>
      <c r="CS911" s="75"/>
    </row>
    <row r="912" spans="1:97" ht="12.75" customHeight="1">
      <c r="A912" s="63" t="s">
        <v>8</v>
      </c>
      <c r="C912" s="63" t="s">
        <v>512</v>
      </c>
      <c r="AL912" s="119"/>
      <c r="AT912" s="75"/>
      <c r="AU912" s="75"/>
      <c r="AV912" s="75"/>
      <c r="BD912" s="75"/>
      <c r="BE912" s="75"/>
      <c r="BF912" s="75"/>
      <c r="BG912" s="75"/>
      <c r="BH912" s="75"/>
      <c r="BI912" s="75"/>
      <c r="BJ912" s="75"/>
      <c r="BK912" s="75"/>
      <c r="BL912" s="75"/>
      <c r="BM912" s="75"/>
      <c r="BN912" s="75"/>
      <c r="BO912" s="75"/>
      <c r="BP912" s="75"/>
      <c r="BQ912" s="75"/>
      <c r="BR912" s="75"/>
      <c r="BS912" s="75"/>
      <c r="BT912" s="75"/>
      <c r="BU912" s="75"/>
      <c r="BV912" s="75"/>
      <c r="BW912" s="75"/>
      <c r="BX912" s="75"/>
      <c r="BY912" s="75"/>
      <c r="BZ912" s="75"/>
      <c r="CA912" s="75"/>
      <c r="CB912" s="75"/>
      <c r="CC912" s="75"/>
      <c r="CD912" s="75"/>
      <c r="CE912" s="75"/>
      <c r="CF912" s="75"/>
      <c r="CG912" s="75"/>
      <c r="CH912" s="75"/>
      <c r="CI912" s="75"/>
      <c r="CJ912" s="75"/>
      <c r="CK912" s="75"/>
      <c r="CL912" s="75"/>
      <c r="CM912" s="75"/>
      <c r="CN912" s="75"/>
      <c r="CO912" s="75"/>
      <c r="CP912" s="75"/>
      <c r="CQ912" s="75"/>
      <c r="CR912" s="75"/>
      <c r="CS912" s="75"/>
    </row>
    <row r="913" spans="1:97" ht="12.75" customHeight="1">
      <c r="B913" s="116"/>
      <c r="C913" s="44" t="s">
        <v>62</v>
      </c>
      <c r="D913" s="116"/>
      <c r="E913" s="116"/>
      <c r="F913" s="116"/>
      <c r="G913" s="116"/>
      <c r="H913" s="116"/>
      <c r="I913" s="116"/>
      <c r="J913" s="116"/>
      <c r="K913" s="116"/>
      <c r="L913" s="116"/>
      <c r="M913" s="116"/>
      <c r="N913" s="116"/>
      <c r="O913" s="116"/>
      <c r="P913" s="116"/>
      <c r="Q913" s="116"/>
      <c r="R913" s="116"/>
      <c r="S913" s="116"/>
      <c r="T913" s="116"/>
      <c r="U913" s="116"/>
      <c r="V913" s="116"/>
      <c r="W913" s="116"/>
      <c r="X913" s="116"/>
      <c r="Y913" s="116"/>
      <c r="Z913" s="116"/>
      <c r="AA913" s="116"/>
      <c r="AB913" s="116"/>
      <c r="AC913" s="116"/>
      <c r="AD913" s="116"/>
      <c r="AE913" s="116"/>
      <c r="AF913" s="116"/>
      <c r="AG913" s="116"/>
      <c r="AH913" s="116"/>
      <c r="AI913" s="116"/>
      <c r="AJ913" s="116"/>
      <c r="AK913" s="116"/>
      <c r="AL913" s="119"/>
      <c r="AT913" s="75"/>
      <c r="AU913" s="75"/>
      <c r="AV913" s="75"/>
      <c r="BD913" s="75"/>
      <c r="BE913" s="75"/>
      <c r="BF913" s="75"/>
      <c r="BG913" s="75"/>
      <c r="BH913" s="75"/>
      <c r="BI913" s="75"/>
      <c r="BJ913" s="75"/>
      <c r="BK913" s="75"/>
      <c r="BL913" s="75"/>
      <c r="BM913" s="75"/>
      <c r="BN913" s="75"/>
      <c r="BO913" s="75"/>
      <c r="BP913" s="75"/>
      <c r="BQ913" s="75"/>
      <c r="BR913" s="75"/>
      <c r="BS913" s="75"/>
      <c r="BT913" s="75"/>
      <c r="BU913" s="75"/>
      <c r="BV913" s="75"/>
      <c r="BW913" s="75"/>
      <c r="BX913" s="75"/>
      <c r="BY913" s="75"/>
      <c r="BZ913" s="75"/>
      <c r="CA913" s="75"/>
      <c r="CB913" s="75"/>
      <c r="CC913" s="75"/>
      <c r="CD913" s="75"/>
      <c r="CE913" s="75"/>
      <c r="CF913" s="75"/>
      <c r="CG913" s="75"/>
      <c r="CH913" s="75"/>
      <c r="CI913" s="75"/>
      <c r="CJ913" s="75"/>
      <c r="CK913" s="75"/>
      <c r="CL913" s="75"/>
      <c r="CM913" s="75"/>
      <c r="CN913" s="75"/>
      <c r="CO913" s="75"/>
      <c r="CP913" s="75"/>
      <c r="CQ913" s="75"/>
      <c r="CR913" s="75"/>
      <c r="CS913" s="75"/>
    </row>
    <row r="914" spans="1:97" ht="12.75" customHeight="1">
      <c r="AL914" s="119"/>
      <c r="AM914" s="75"/>
      <c r="AN914" s="75"/>
      <c r="AO914" s="75"/>
      <c r="AP914" s="75"/>
      <c r="AQ914" s="75"/>
      <c r="AR914" s="75"/>
      <c r="AS914" s="75"/>
      <c r="AT914" s="75"/>
      <c r="AU914" s="75"/>
      <c r="AV914" s="75"/>
      <c r="AW914" s="75"/>
      <c r="AX914" s="75"/>
      <c r="AY914" s="75"/>
      <c r="AZ914" s="75"/>
      <c r="BA914" s="75"/>
      <c r="BB914" s="75"/>
      <c r="BC914" s="75"/>
      <c r="BD914" s="75"/>
      <c r="BE914" s="75"/>
      <c r="BF914" s="75"/>
      <c r="BG914" s="75"/>
      <c r="BH914" s="75"/>
      <c r="BI914" s="75"/>
      <c r="BJ914" s="75"/>
      <c r="BK914" s="75"/>
      <c r="BL914" s="75"/>
      <c r="BM914" s="75"/>
      <c r="BN914" s="75"/>
      <c r="BO914" s="75"/>
      <c r="BP914" s="75"/>
      <c r="BQ914" s="75"/>
      <c r="BR914" s="75"/>
      <c r="BS914" s="75"/>
      <c r="BT914" s="75"/>
      <c r="BU914" s="75"/>
      <c r="BV914" s="75"/>
      <c r="BW914" s="75"/>
      <c r="BX914" s="75"/>
      <c r="BY914" s="75"/>
      <c r="BZ914" s="75"/>
      <c r="CA914" s="75"/>
      <c r="CB914" s="75"/>
      <c r="CC914" s="75"/>
      <c r="CD914" s="75"/>
      <c r="CE914" s="75"/>
      <c r="CF914" s="75"/>
      <c r="CG914" s="75"/>
      <c r="CH914" s="75"/>
      <c r="CI914" s="75"/>
      <c r="CJ914" s="75"/>
      <c r="CK914" s="75"/>
      <c r="CL914" s="75"/>
      <c r="CM914" s="75"/>
      <c r="CN914" s="75"/>
      <c r="CO914" s="75"/>
      <c r="CP914" s="75"/>
      <c r="CQ914" s="75"/>
      <c r="CR914" s="75"/>
      <c r="CS914" s="75"/>
    </row>
    <row r="915" spans="1:97" ht="12.75" customHeight="1">
      <c r="C915" s="117" t="s">
        <v>909</v>
      </c>
      <c r="D915" s="91"/>
      <c r="E915" s="91"/>
      <c r="F915" s="91"/>
      <c r="G915" s="91"/>
      <c r="H915" s="91"/>
      <c r="I915" s="91"/>
      <c r="J915" s="91"/>
      <c r="K915" s="91"/>
      <c r="L915" s="2155">
        <v>43816</v>
      </c>
      <c r="M915" s="1923"/>
      <c r="N915" s="1923"/>
      <c r="O915" s="1923"/>
      <c r="P915" s="1923"/>
      <c r="Q915" s="1923"/>
      <c r="R915" s="1923"/>
      <c r="S915" s="2126"/>
      <c r="U915" s="117" t="s">
        <v>909</v>
      </c>
      <c r="V915" s="91"/>
      <c r="W915" s="91"/>
      <c r="X915" s="91"/>
      <c r="Y915" s="91"/>
      <c r="Z915" s="91"/>
      <c r="AA915" s="91"/>
      <c r="AB915" s="91"/>
      <c r="AC915" s="91"/>
      <c r="AD915" s="92"/>
      <c r="AE915" s="2155">
        <v>44251</v>
      </c>
      <c r="AF915" s="1922"/>
      <c r="AG915" s="1922"/>
      <c r="AH915" s="1922"/>
      <c r="AI915" s="1922"/>
      <c r="AJ915" s="1922"/>
      <c r="AK915" s="1999"/>
      <c r="AL915" s="119"/>
      <c r="AM915" s="75"/>
      <c r="AP915" s="75"/>
      <c r="AQ915" s="75"/>
      <c r="AR915" s="75"/>
      <c r="AS915" s="75"/>
      <c r="AT915" s="75"/>
      <c r="AU915" s="75"/>
      <c r="AV915" s="75"/>
      <c r="AW915" s="75"/>
      <c r="AX915" s="75"/>
      <c r="AY915" s="75"/>
      <c r="AZ915" s="75"/>
      <c r="BA915" s="75"/>
      <c r="BB915" s="75"/>
      <c r="BC915" s="75"/>
      <c r="BD915" s="75"/>
      <c r="BE915" s="75"/>
      <c r="BF915" s="75"/>
      <c r="BG915" s="75"/>
      <c r="BH915" s="75"/>
      <c r="BI915" s="75"/>
      <c r="BJ915" s="75"/>
      <c r="BK915" s="75"/>
      <c r="BL915" s="75"/>
      <c r="BM915" s="75"/>
      <c r="BN915" s="75"/>
      <c r="BO915" s="75"/>
      <c r="BP915" s="75"/>
      <c r="BQ915" s="75"/>
      <c r="BR915" s="75"/>
      <c r="BS915" s="75"/>
      <c r="BT915" s="75"/>
      <c r="BU915" s="75"/>
      <c r="BV915" s="75"/>
      <c r="BW915" s="75"/>
      <c r="BX915" s="75"/>
      <c r="BY915" s="75"/>
      <c r="BZ915" s="75"/>
      <c r="CA915" s="75"/>
      <c r="CB915" s="75"/>
      <c r="CC915" s="75"/>
      <c r="CD915" s="75"/>
      <c r="CE915" s="75"/>
      <c r="CF915" s="75"/>
      <c r="CG915" s="75"/>
      <c r="CH915" s="75"/>
      <c r="CI915" s="75"/>
      <c r="CJ915" s="75"/>
      <c r="CK915" s="75"/>
      <c r="CL915" s="75"/>
      <c r="CM915" s="75"/>
      <c r="CN915" s="75"/>
      <c r="CO915" s="75"/>
      <c r="CP915" s="75"/>
      <c r="CQ915" s="75"/>
      <c r="CR915" s="75"/>
      <c r="CS915" s="75"/>
    </row>
    <row r="916" spans="1:97" ht="12.75" customHeight="1">
      <c r="C916" s="117" t="s">
        <v>910</v>
      </c>
      <c r="D916" s="91"/>
      <c r="E916" s="91"/>
      <c r="F916" s="91"/>
      <c r="G916" s="91"/>
      <c r="H916" s="91"/>
      <c r="I916" s="91"/>
      <c r="J916" s="91"/>
      <c r="K916" s="91"/>
      <c r="L916" s="2125" t="s">
        <v>2404</v>
      </c>
      <c r="M916" s="1923"/>
      <c r="N916" s="1923"/>
      <c r="O916" s="1923"/>
      <c r="P916" s="1923"/>
      <c r="Q916" s="1923"/>
      <c r="R916" s="1923"/>
      <c r="S916" s="2126"/>
      <c r="U916" s="117" t="s">
        <v>910</v>
      </c>
      <c r="V916" s="91"/>
      <c r="W916" s="91"/>
      <c r="X916" s="91"/>
      <c r="Y916" s="91"/>
      <c r="Z916" s="91"/>
      <c r="AA916" s="91"/>
      <c r="AB916" s="91"/>
      <c r="AC916" s="91"/>
      <c r="AD916" s="92"/>
      <c r="AE916" s="2166" t="s">
        <v>2404</v>
      </c>
      <c r="AF916" s="2167"/>
      <c r="AG916" s="2167"/>
      <c r="AH916" s="2167"/>
      <c r="AI916" s="2167"/>
      <c r="AJ916" s="2167"/>
      <c r="AK916" s="2168"/>
      <c r="AL916" s="119"/>
      <c r="AM916" s="75"/>
      <c r="AN916" s="75"/>
      <c r="AO916" s="75"/>
      <c r="AP916" s="75"/>
      <c r="AQ916" s="75"/>
      <c r="AR916" s="75"/>
      <c r="AS916" s="75"/>
      <c r="AT916" s="75"/>
      <c r="AU916" s="75"/>
      <c r="AV916" s="75"/>
      <c r="AW916" s="66"/>
      <c r="AX916" s="66"/>
      <c r="AY916" s="30"/>
      <c r="AZ916" s="30"/>
      <c r="BA916" s="30"/>
      <c r="BB916" s="75"/>
      <c r="BC916" s="75"/>
      <c r="BD916" s="75"/>
      <c r="BE916" s="75"/>
      <c r="BF916" s="75"/>
      <c r="BG916" s="75"/>
      <c r="BH916" s="75"/>
      <c r="BI916" s="75"/>
      <c r="BJ916" s="75"/>
      <c r="BK916" s="75"/>
      <c r="BL916" s="75"/>
      <c r="BM916" s="75"/>
      <c r="BN916" s="75"/>
      <c r="BO916" s="75"/>
      <c r="BP916" s="75"/>
      <c r="BQ916" s="75"/>
      <c r="BR916" s="75"/>
      <c r="BS916" s="75"/>
      <c r="BT916" s="75"/>
      <c r="BU916" s="75"/>
      <c r="BV916" s="75"/>
      <c r="BW916" s="75"/>
      <c r="BX916" s="75"/>
      <c r="BY916" s="75"/>
      <c r="BZ916" s="75"/>
      <c r="CA916" s="75"/>
      <c r="CB916" s="75"/>
      <c r="CC916" s="75"/>
      <c r="CD916" s="75"/>
      <c r="CE916" s="75"/>
      <c r="CF916" s="75"/>
      <c r="CG916" s="75"/>
      <c r="CH916" s="75"/>
      <c r="CI916" s="75"/>
      <c r="CJ916" s="75"/>
      <c r="CK916" s="75"/>
      <c r="CL916" s="75"/>
      <c r="CM916" s="75"/>
      <c r="CN916" s="75"/>
      <c r="CO916" s="75"/>
      <c r="CP916" s="75"/>
      <c r="CQ916" s="75"/>
      <c r="CR916" s="75"/>
      <c r="CS916" s="75"/>
    </row>
    <row r="917" spans="1:97" ht="12.75" customHeight="1">
      <c r="C917" s="117" t="s">
        <v>1227</v>
      </c>
      <c r="D917" s="91"/>
      <c r="E917" s="91"/>
      <c r="L917" s="2122" t="s">
        <v>2489</v>
      </c>
      <c r="M917" s="2123"/>
      <c r="N917" s="2123"/>
      <c r="O917" s="2123"/>
      <c r="P917" s="2123"/>
      <c r="Q917" s="2123"/>
      <c r="R917" s="2123"/>
      <c r="S917" s="2124"/>
      <c r="U917" s="117" t="s">
        <v>1227</v>
      </c>
      <c r="V917" s="91"/>
      <c r="W917" s="91"/>
      <c r="AE917" s="2129" t="s">
        <v>2490</v>
      </c>
      <c r="AF917" s="2130"/>
      <c r="AG917" s="2130"/>
      <c r="AH917" s="2130"/>
      <c r="AI917" s="2130"/>
      <c r="AJ917" s="2130"/>
      <c r="AK917" s="2131"/>
      <c r="AL917" s="119"/>
      <c r="AM917" s="75"/>
      <c r="AN917" s="75"/>
      <c r="AO917" s="75"/>
      <c r="AP917" s="75"/>
      <c r="AQ917" s="75"/>
      <c r="AR917" s="75"/>
      <c r="AS917" s="75"/>
      <c r="AT917" s="75"/>
      <c r="AU917" s="75"/>
      <c r="AV917" s="75"/>
      <c r="AW917" s="66" t="s">
        <v>649</v>
      </c>
      <c r="AX917" s="319">
        <v>20</v>
      </c>
      <c r="AY917" s="2118">
        <f>IF(AD953&gt;0,0.2,0)</f>
        <v>0</v>
      </c>
      <c r="AZ917" s="2118"/>
      <c r="BA917" s="30"/>
      <c r="BB917" s="75"/>
      <c r="BC917" s="75"/>
      <c r="BD917" s="75"/>
      <c r="BE917" s="75"/>
      <c r="BF917" s="75"/>
      <c r="BG917" s="75"/>
      <c r="BH917" s="75"/>
      <c r="BI917" s="75"/>
      <c r="BJ917" s="75"/>
      <c r="BK917" s="75"/>
      <c r="BL917" s="75"/>
      <c r="BM917" s="75"/>
      <c r="BN917" s="75"/>
      <c r="BO917" s="75"/>
      <c r="BP917" s="75"/>
      <c r="BQ917" s="75"/>
      <c r="BR917" s="75"/>
      <c r="BS917" s="75"/>
      <c r="BT917" s="75"/>
      <c r="BU917" s="75"/>
      <c r="BV917" s="75"/>
      <c r="BW917" s="75"/>
      <c r="BX917" s="75"/>
      <c r="BY917" s="75"/>
      <c r="BZ917" s="75"/>
      <c r="CA917" s="75"/>
      <c r="CB917" s="75"/>
      <c r="CC917" s="75"/>
      <c r="CD917" s="75"/>
      <c r="CE917" s="75"/>
      <c r="CF917" s="75"/>
      <c r="CG917" s="75"/>
      <c r="CH917" s="75"/>
      <c r="CI917" s="75"/>
      <c r="CJ917" s="75"/>
      <c r="CK917" s="75"/>
      <c r="CL917" s="75"/>
      <c r="CM917" s="75"/>
      <c r="CN917" s="75"/>
      <c r="CO917" s="75"/>
      <c r="CP917" s="75"/>
      <c r="CQ917" s="75"/>
      <c r="CR917" s="75"/>
      <c r="CS917" s="75"/>
    </row>
    <row r="918" spans="1:97" ht="12.75" customHeight="1">
      <c r="C918" s="117" t="s">
        <v>911</v>
      </c>
      <c r="D918" s="91"/>
      <c r="E918" s="91"/>
      <c r="F918" s="91"/>
      <c r="G918" s="91"/>
      <c r="H918" s="91"/>
      <c r="I918" s="91"/>
      <c r="J918" s="91"/>
      <c r="K918" s="91"/>
      <c r="L918" s="2152">
        <v>0.5</v>
      </c>
      <c r="M918" s="2153"/>
      <c r="N918" s="2153"/>
      <c r="O918" s="2153"/>
      <c r="P918" s="2153"/>
      <c r="Q918" s="2153"/>
      <c r="R918" s="2153"/>
      <c r="S918" s="2154"/>
      <c r="U918" s="117" t="s">
        <v>911</v>
      </c>
      <c r="V918" s="91"/>
      <c r="W918" s="91"/>
      <c r="X918" s="91"/>
      <c r="Y918" s="91"/>
      <c r="Z918" s="91"/>
      <c r="AA918" s="91"/>
      <c r="AB918" s="91"/>
      <c r="AC918" s="91"/>
      <c r="AD918" s="92"/>
      <c r="AE918" s="2152">
        <v>0.5</v>
      </c>
      <c r="AF918" s="2153"/>
      <c r="AG918" s="2153"/>
      <c r="AH918" s="2153"/>
      <c r="AI918" s="2153"/>
      <c r="AJ918" s="2153"/>
      <c r="AK918" s="2154"/>
      <c r="AL918" s="119"/>
      <c r="AM918" s="75"/>
      <c r="AN918" s="75"/>
      <c r="AO918" s="75"/>
      <c r="AP918" s="75"/>
      <c r="AQ918" s="75"/>
      <c r="AR918" s="75"/>
      <c r="AS918" s="75"/>
      <c r="AT918" s="75"/>
      <c r="AU918" s="75"/>
      <c r="AV918" s="75"/>
      <c r="AX918" s="16">
        <v>5</v>
      </c>
      <c r="AY918" s="2118">
        <f>IF(AD956&gt;0,0.05,0)</f>
        <v>0</v>
      </c>
      <c r="AZ918" s="2118"/>
      <c r="BC918" s="75"/>
      <c r="BD918" s="75"/>
      <c r="BE918" s="75"/>
      <c r="BF918" s="75"/>
      <c r="BG918" s="75"/>
      <c r="BH918" s="75"/>
      <c r="BI918" s="75"/>
      <c r="BJ918" s="75"/>
      <c r="BK918" s="75"/>
      <c r="BL918" s="75"/>
      <c r="BM918" s="75"/>
      <c r="BN918" s="75"/>
      <c r="BO918" s="75"/>
      <c r="BP918" s="75"/>
      <c r="BQ918" s="75"/>
      <c r="BR918" s="75"/>
      <c r="BS918" s="75"/>
      <c r="BT918" s="75"/>
      <c r="BU918" s="75"/>
      <c r="BV918" s="75"/>
      <c r="BW918" s="75"/>
      <c r="BX918" s="75"/>
      <c r="BY918" s="75"/>
      <c r="BZ918" s="75"/>
      <c r="CA918" s="75"/>
      <c r="CB918" s="75"/>
      <c r="CC918" s="75"/>
      <c r="CD918" s="75"/>
      <c r="CE918" s="75"/>
      <c r="CF918" s="75"/>
      <c r="CG918" s="75"/>
      <c r="CH918" s="75"/>
      <c r="CI918" s="75"/>
      <c r="CJ918" s="75"/>
      <c r="CK918" s="75"/>
      <c r="CL918" s="75"/>
      <c r="CM918" s="75"/>
      <c r="CN918" s="75"/>
      <c r="CO918" s="75"/>
      <c r="CP918" s="75"/>
      <c r="CQ918" s="75"/>
      <c r="CR918" s="75"/>
      <c r="CS918" s="75"/>
    </row>
    <row r="919" spans="1:97" ht="12.75" customHeight="1">
      <c r="C919" s="117" t="s">
        <v>912</v>
      </c>
      <c r="D919" s="91"/>
      <c r="E919" s="91"/>
      <c r="F919" s="91"/>
      <c r="G919" s="91"/>
      <c r="H919" s="91"/>
      <c r="I919" s="91"/>
      <c r="J919" s="91"/>
      <c r="K919" s="91"/>
      <c r="L919" s="2149">
        <v>20</v>
      </c>
      <c r="M919" s="2150"/>
      <c r="N919" s="2150"/>
      <c r="O919" s="2150"/>
      <c r="P919" s="2150"/>
      <c r="Q919" s="2150"/>
      <c r="R919" s="2150"/>
      <c r="S919" s="2151"/>
      <c r="U919" s="117" t="s">
        <v>912</v>
      </c>
      <c r="V919" s="91"/>
      <c r="W919" s="91"/>
      <c r="X919" s="91"/>
      <c r="Y919" s="91"/>
      <c r="Z919" s="91"/>
      <c r="AA919" s="91"/>
      <c r="AB919" s="91"/>
      <c r="AC919" s="91"/>
      <c r="AD919" s="92"/>
      <c r="AE919" s="1994">
        <v>20</v>
      </c>
      <c r="AF919" s="1985"/>
      <c r="AG919" s="1985"/>
      <c r="AH919" s="1985"/>
      <c r="AI919" s="1985"/>
      <c r="AJ919" s="1985"/>
      <c r="AK919" s="1986"/>
      <c r="AL919" s="119"/>
      <c r="AM919" s="75"/>
      <c r="AN919" s="75"/>
      <c r="AO919" s="75"/>
      <c r="AP919" s="75"/>
      <c r="AQ919" s="75"/>
      <c r="AR919" s="75"/>
      <c r="AS919" s="75"/>
      <c r="AT919" s="75"/>
      <c r="AU919" s="75"/>
      <c r="AV919" s="75"/>
      <c r="AW919" s="66" t="s">
        <v>650</v>
      </c>
      <c r="AX919" s="319">
        <v>7</v>
      </c>
      <c r="AY919" s="2142">
        <f>IF(AD960&gt;0,0.07,0)</f>
        <v>0</v>
      </c>
      <c r="AZ919" s="2142"/>
      <c r="BA919" s="30"/>
      <c r="BB919" s="75"/>
      <c r="BC919" s="75"/>
      <c r="BD919" s="75"/>
      <c r="BE919" s="75"/>
      <c r="BF919" s="75"/>
      <c r="BG919" s="75"/>
      <c r="BH919" s="75"/>
      <c r="BI919" s="75"/>
      <c r="BJ919" s="75"/>
      <c r="BK919" s="75"/>
      <c r="BL919" s="75"/>
      <c r="BM919" s="75"/>
      <c r="BN919" s="75"/>
      <c r="BO919" s="75"/>
      <c r="BP919" s="75"/>
      <c r="BQ919" s="75"/>
      <c r="BR919" s="75"/>
      <c r="BS919" s="75"/>
      <c r="BT919" s="75"/>
      <c r="BU919" s="75"/>
      <c r="BV919" s="75"/>
      <c r="BW919" s="75"/>
      <c r="BX919" s="75"/>
      <c r="BY919" s="75"/>
      <c r="BZ919" s="75"/>
      <c r="CA919" s="75"/>
      <c r="CB919" s="75"/>
      <c r="CC919" s="75"/>
      <c r="CD919" s="75"/>
      <c r="CE919" s="75"/>
      <c r="CF919" s="75"/>
      <c r="CG919" s="75"/>
      <c r="CH919" s="75"/>
      <c r="CI919" s="75"/>
      <c r="CJ919" s="75"/>
      <c r="CK919" s="75"/>
      <c r="CL919" s="75"/>
      <c r="CM919" s="75"/>
      <c r="CN919" s="75"/>
      <c r="CO919" s="75"/>
      <c r="CP919" s="75"/>
      <c r="CQ919" s="75"/>
      <c r="CR919" s="75"/>
      <c r="CS919" s="75"/>
    </row>
    <row r="920" spans="1:97" ht="12.75" customHeight="1">
      <c r="C920" s="117" t="s">
        <v>913</v>
      </c>
      <c r="D920" s="91"/>
      <c r="E920" s="91"/>
      <c r="F920" s="91"/>
      <c r="G920" s="91"/>
      <c r="H920" s="91"/>
      <c r="I920" s="91"/>
      <c r="J920" s="91"/>
      <c r="K920" s="91"/>
      <c r="L920" s="1743">
        <f>12*('Subsidy Contract Calculation'!I4+'Subsidy Contract Calculation'!I5)</f>
        <v>124020</v>
      </c>
      <c r="M920" s="1744"/>
      <c r="N920" s="1744"/>
      <c r="O920" s="1744"/>
      <c r="P920" s="1744"/>
      <c r="Q920" s="1744"/>
      <c r="R920" s="1744"/>
      <c r="S920" s="1745"/>
      <c r="U920" s="117" t="s">
        <v>913</v>
      </c>
      <c r="V920" s="91"/>
      <c r="W920" s="91"/>
      <c r="X920" s="91"/>
      <c r="Y920" s="91"/>
      <c r="Z920" s="91"/>
      <c r="AA920" s="91"/>
      <c r="AB920" s="91"/>
      <c r="AC920" s="91"/>
      <c r="AD920" s="92"/>
      <c r="AE920" s="1753">
        <f>12*('Subsidy Contract Calculation'!I6+'Subsidy Contract Calculation'!I7+'Subsidy Contract Calculation'!I8+'Subsidy Contract Calculation'!I9+'Subsidy Contract Calculation'!I10+'Subsidy Contract Calculation'!I11+'Subsidy Contract Calculation'!I12+'Subsidy Contract Calculation'!I13)</f>
        <v>55620</v>
      </c>
      <c r="AF920" s="1754"/>
      <c r="AG920" s="1754"/>
      <c r="AH920" s="1754"/>
      <c r="AI920" s="1754"/>
      <c r="AJ920" s="1754"/>
      <c r="AK920" s="1755"/>
      <c r="AL920" s="119"/>
      <c r="AM920" s="75"/>
      <c r="AN920" s="75"/>
      <c r="AO920" s="75"/>
      <c r="AP920" s="75"/>
      <c r="AQ920" s="75"/>
      <c r="AR920" s="75"/>
      <c r="AS920" s="75"/>
      <c r="AT920" s="75"/>
      <c r="AU920" s="75"/>
      <c r="AV920" s="75"/>
      <c r="AW920" s="66" t="s">
        <v>164</v>
      </c>
      <c r="AX920" s="319">
        <v>2</v>
      </c>
      <c r="AY920" s="2119">
        <f>IF(AD964&gt;0,0.02,0)</f>
        <v>0</v>
      </c>
      <c r="AZ920" s="2120"/>
      <c r="BA920" s="30"/>
      <c r="BB920" s="75"/>
      <c r="BC920" s="75"/>
      <c r="BD920" s="75"/>
      <c r="BE920" s="75"/>
      <c r="BF920" s="75"/>
      <c r="BG920" s="75"/>
      <c r="BH920" s="75"/>
      <c r="BI920" s="75"/>
      <c r="BJ920" s="75"/>
      <c r="BK920" s="75"/>
      <c r="BL920" s="75"/>
      <c r="BM920" s="75"/>
      <c r="BN920" s="75"/>
      <c r="BO920" s="75"/>
      <c r="BP920" s="75"/>
      <c r="BQ920" s="75"/>
      <c r="BR920" s="75"/>
      <c r="BS920" s="75"/>
      <c r="BT920" s="75"/>
      <c r="BU920" s="75"/>
      <c r="BV920" s="75"/>
      <c r="BW920" s="75"/>
      <c r="BX920" s="75"/>
      <c r="BY920" s="75"/>
      <c r="BZ920" s="75"/>
      <c r="CA920" s="75"/>
      <c r="CB920" s="75"/>
      <c r="CC920" s="75"/>
      <c r="CD920" s="75"/>
      <c r="CE920" s="75"/>
      <c r="CF920" s="75"/>
      <c r="CG920" s="75"/>
      <c r="CH920" s="75"/>
      <c r="CI920" s="75"/>
      <c r="CJ920" s="75"/>
      <c r="CK920" s="75"/>
      <c r="CL920" s="75"/>
      <c r="CM920" s="75"/>
      <c r="CN920" s="75"/>
      <c r="CO920" s="75"/>
      <c r="CP920" s="75"/>
      <c r="CQ920" s="75"/>
      <c r="CR920" s="75"/>
      <c r="CS920" s="75"/>
    </row>
    <row r="921" spans="1:97" ht="12.75" customHeight="1">
      <c r="C921" s="117" t="s">
        <v>914</v>
      </c>
      <c r="D921" s="91"/>
      <c r="E921" s="91"/>
      <c r="F921" s="91"/>
      <c r="G921" s="91"/>
      <c r="H921" s="91"/>
      <c r="I921" s="91"/>
      <c r="J921" s="91"/>
      <c r="K921" s="91"/>
      <c r="L921" s="1743">
        <f>L920*L922</f>
        <v>2480400</v>
      </c>
      <c r="M921" s="1744"/>
      <c r="N921" s="1744"/>
      <c r="O921" s="1744"/>
      <c r="P921" s="1744"/>
      <c r="Q921" s="1744"/>
      <c r="R921" s="1744"/>
      <c r="S921" s="1745"/>
      <c r="U921" s="117" t="s">
        <v>914</v>
      </c>
      <c r="V921" s="91"/>
      <c r="W921" s="91"/>
      <c r="X921" s="91"/>
      <c r="Y921" s="91"/>
      <c r="Z921" s="91"/>
      <c r="AA921" s="91"/>
      <c r="AB921" s="91"/>
      <c r="AC921" s="91"/>
      <c r="AD921" s="92"/>
      <c r="AE921" s="1753">
        <f>AE920*AE922</f>
        <v>1112400</v>
      </c>
      <c r="AF921" s="1754"/>
      <c r="AG921" s="1754"/>
      <c r="AH921" s="1754"/>
      <c r="AI921" s="1754"/>
      <c r="AJ921" s="1754"/>
      <c r="AK921" s="1755"/>
      <c r="AL921" s="119"/>
      <c r="AM921" s="75"/>
      <c r="AN921" s="75"/>
      <c r="AO921" s="75"/>
      <c r="AP921" s="75"/>
      <c r="AQ921" s="75"/>
      <c r="AR921" s="75"/>
      <c r="AS921" s="75"/>
      <c r="AT921" s="75"/>
      <c r="AU921" s="75"/>
      <c r="AV921" s="75"/>
      <c r="AW921" s="66" t="s">
        <v>651</v>
      </c>
      <c r="AX921" s="319">
        <v>2</v>
      </c>
      <c r="AY921" s="2119">
        <f>IF(AD966&gt;0,0.02,0)</f>
        <v>0</v>
      </c>
      <c r="AZ921" s="2120"/>
      <c r="BA921" s="30"/>
      <c r="BB921" s="75"/>
      <c r="BC921" s="75"/>
      <c r="BD921" s="75"/>
      <c r="BE921" s="75"/>
      <c r="BF921" s="75"/>
      <c r="BG921" s="75"/>
      <c r="BH921" s="75"/>
      <c r="BI921" s="75"/>
      <c r="BJ921" s="75"/>
      <c r="BK921" s="75"/>
      <c r="BL921" s="75"/>
      <c r="BM921" s="75"/>
      <c r="BN921" s="75"/>
      <c r="BO921" s="75"/>
      <c r="BP921" s="75"/>
      <c r="BQ921" s="75"/>
      <c r="BR921" s="75"/>
      <c r="BS921" s="75"/>
      <c r="BT921" s="75"/>
      <c r="BU921" s="75"/>
      <c r="BV921" s="75"/>
      <c r="BW921" s="75"/>
      <c r="BX921" s="75"/>
      <c r="BY921" s="75"/>
      <c r="BZ921" s="75"/>
      <c r="CA921" s="75"/>
      <c r="CB921" s="75"/>
      <c r="CC921" s="75"/>
      <c r="CD921" s="75"/>
      <c r="CE921" s="75"/>
      <c r="CF921" s="75"/>
      <c r="CG921" s="75"/>
      <c r="CH921" s="75"/>
      <c r="CI921" s="75"/>
      <c r="CJ921" s="75"/>
      <c r="CK921" s="75"/>
      <c r="CL921" s="75"/>
      <c r="CM921" s="75"/>
      <c r="CN921" s="75"/>
      <c r="CO921" s="75"/>
      <c r="CP921" s="75"/>
      <c r="CQ921" s="75"/>
      <c r="CR921" s="75"/>
      <c r="CS921" s="75"/>
    </row>
    <row r="922" spans="1:97" ht="12.75" customHeight="1">
      <c r="C922" s="117" t="s">
        <v>859</v>
      </c>
      <c r="D922" s="91"/>
      <c r="E922" s="91"/>
      <c r="F922" s="91"/>
      <c r="G922" s="91"/>
      <c r="H922" s="91"/>
      <c r="I922" s="91"/>
      <c r="J922" s="91"/>
      <c r="K922" s="91"/>
      <c r="L922" s="2132" t="s">
        <v>2491</v>
      </c>
      <c r="M922" s="2133"/>
      <c r="N922" s="2133"/>
      <c r="O922" s="2133"/>
      <c r="P922" s="2133"/>
      <c r="Q922" s="2133"/>
      <c r="R922" s="2133"/>
      <c r="S922" s="2134"/>
      <c r="U922" s="117" t="s">
        <v>859</v>
      </c>
      <c r="V922" s="91"/>
      <c r="W922" s="91"/>
      <c r="X922" s="91"/>
      <c r="Y922" s="91"/>
      <c r="Z922" s="91"/>
      <c r="AA922" s="91"/>
      <c r="AB922" s="91"/>
      <c r="AC922" s="91"/>
      <c r="AD922" s="92"/>
      <c r="AE922" s="2132" t="s">
        <v>2491</v>
      </c>
      <c r="AF922" s="2133"/>
      <c r="AG922" s="2133"/>
      <c r="AH922" s="2133"/>
      <c r="AI922" s="2133"/>
      <c r="AJ922" s="2133"/>
      <c r="AK922" s="2134"/>
      <c r="AL922" s="119"/>
      <c r="AM922" s="75"/>
      <c r="AN922" s="75"/>
      <c r="AO922" s="75"/>
      <c r="AP922" s="75"/>
      <c r="AQ922" s="75"/>
      <c r="AR922" s="75"/>
      <c r="AS922" s="75"/>
      <c r="AT922" s="75"/>
      <c r="AU922" s="75"/>
      <c r="AV922" s="75"/>
      <c r="AW922" s="66" t="s">
        <v>652</v>
      </c>
      <c r="AX922" s="319">
        <v>10</v>
      </c>
      <c r="AY922" s="2135">
        <f>AY930</f>
        <v>0.04</v>
      </c>
      <c r="AZ922" s="2136"/>
      <c r="BA922" s="30"/>
      <c r="BB922" s="75"/>
      <c r="BC922" s="75"/>
      <c r="BD922" s="75"/>
      <c r="BE922" s="75"/>
      <c r="BF922" s="75"/>
      <c r="BG922" s="75"/>
      <c r="BH922" s="75"/>
      <c r="BI922" s="75"/>
      <c r="BJ922" s="75"/>
      <c r="BK922" s="75"/>
      <c r="BL922" s="75"/>
      <c r="BM922" s="75"/>
      <c r="BN922" s="75"/>
      <c r="BO922" s="75"/>
      <c r="BP922" s="75"/>
      <c r="BQ922" s="75"/>
      <c r="BR922" s="75"/>
      <c r="BS922" s="75"/>
      <c r="BT922" s="75"/>
      <c r="BU922" s="75"/>
      <c r="BV922" s="75"/>
      <c r="BW922" s="75"/>
      <c r="BX922" s="75"/>
      <c r="BY922" s="75"/>
      <c r="BZ922" s="75"/>
      <c r="CA922" s="75"/>
      <c r="CB922" s="75"/>
      <c r="CC922" s="75"/>
      <c r="CD922" s="75"/>
      <c r="CE922" s="75"/>
      <c r="CF922" s="75"/>
      <c r="CG922" s="75"/>
      <c r="CH922" s="75"/>
      <c r="CI922" s="75"/>
      <c r="CJ922" s="75"/>
      <c r="CK922" s="75"/>
      <c r="CL922" s="75"/>
      <c r="CM922" s="75"/>
      <c r="CN922" s="75"/>
      <c r="CO922" s="75"/>
      <c r="CP922" s="75"/>
      <c r="CQ922" s="75"/>
      <c r="CR922" s="75"/>
      <c r="CS922" s="75"/>
    </row>
    <row r="923" spans="1:97" ht="12.75" customHeight="1">
      <c r="AL923" s="119"/>
      <c r="AM923" s="75"/>
      <c r="AN923" s="75"/>
      <c r="AO923" s="75"/>
      <c r="AP923" s="75"/>
      <c r="AQ923" s="75"/>
      <c r="AR923" s="75"/>
      <c r="AS923" s="75"/>
      <c r="AT923" s="75"/>
      <c r="AU923" s="75"/>
      <c r="AV923" s="75"/>
      <c r="AW923" s="66" t="s">
        <v>653</v>
      </c>
      <c r="AX923" s="319">
        <v>15</v>
      </c>
      <c r="AY923" s="2119"/>
      <c r="AZ923" s="2120"/>
      <c r="BA923" s="30"/>
      <c r="BB923" s="75"/>
      <c r="BC923" s="75"/>
      <c r="BD923" s="75"/>
      <c r="BE923" s="75"/>
      <c r="BF923" s="75"/>
      <c r="BG923" s="75"/>
      <c r="BH923" s="75"/>
      <c r="BI923" s="75"/>
      <c r="BJ923" s="75"/>
      <c r="BK923" s="75"/>
      <c r="BL923" s="75"/>
      <c r="BM923" s="75"/>
      <c r="BN923" s="75"/>
      <c r="BO923" s="75"/>
      <c r="BP923" s="75"/>
      <c r="BQ923" s="75"/>
      <c r="BR923" s="75"/>
      <c r="BS923" s="75"/>
      <c r="BT923" s="75"/>
      <c r="BU923" s="75"/>
      <c r="BV923" s="75"/>
      <c r="BW923" s="75"/>
      <c r="BX923" s="75"/>
      <c r="BY923" s="75"/>
      <c r="BZ923" s="75"/>
      <c r="CA923" s="75"/>
      <c r="CB923" s="75"/>
      <c r="CC923" s="75"/>
      <c r="CD923" s="75"/>
      <c r="CE923" s="75"/>
      <c r="CF923" s="75"/>
      <c r="CG923" s="75"/>
      <c r="CH923" s="75"/>
      <c r="CI923" s="75"/>
      <c r="CJ923" s="75"/>
      <c r="CK923" s="75"/>
      <c r="CL923" s="75"/>
      <c r="CM923" s="75"/>
      <c r="CN923" s="75"/>
      <c r="CO923" s="75"/>
      <c r="CP923" s="75"/>
      <c r="CQ923" s="75"/>
      <c r="CR923" s="75"/>
      <c r="CS923" s="75"/>
    </row>
    <row r="924" spans="1:97" ht="12.75" customHeight="1">
      <c r="A924" s="63" t="s">
        <v>131</v>
      </c>
      <c r="C924" s="116" t="s">
        <v>97</v>
      </c>
      <c r="D924" s="116"/>
      <c r="E924" s="116"/>
      <c r="F924" s="116"/>
      <c r="G924" s="116"/>
      <c r="H924" s="116"/>
      <c r="I924" s="116"/>
      <c r="J924" s="116"/>
      <c r="K924" s="116"/>
      <c r="L924" s="116"/>
      <c r="M924" s="116"/>
      <c r="N924" s="116"/>
      <c r="O924" s="116"/>
      <c r="P924" s="116"/>
      <c r="Q924" s="116"/>
      <c r="R924" s="116"/>
      <c r="S924" s="116"/>
      <c r="T924" s="116"/>
      <c r="U924" s="116"/>
      <c r="V924" s="116"/>
      <c r="W924" s="116"/>
      <c r="X924" s="116"/>
      <c r="Y924" s="116"/>
      <c r="Z924" s="116"/>
      <c r="AA924" s="116"/>
      <c r="AB924" s="116"/>
      <c r="AC924" s="116"/>
      <c r="AD924" s="116"/>
      <c r="AE924" s="116"/>
      <c r="AF924" s="116"/>
      <c r="AG924" s="116"/>
      <c r="AH924" s="116"/>
      <c r="AI924" s="116"/>
      <c r="AJ924" s="116"/>
      <c r="AK924" s="116"/>
      <c r="AL924" s="119"/>
      <c r="AM924" s="75"/>
      <c r="AN924" s="75"/>
      <c r="AO924" s="75"/>
      <c r="AP924" s="75"/>
      <c r="AQ924" s="75"/>
      <c r="AR924" s="75"/>
      <c r="AS924" s="75"/>
      <c r="AT924" s="75"/>
      <c r="AU924" s="75"/>
      <c r="AV924" s="75"/>
      <c r="AW924" s="66" t="s">
        <v>551</v>
      </c>
      <c r="AX924" s="319"/>
      <c r="AY924" s="2137"/>
      <c r="AZ924" s="2138"/>
      <c r="BA924" s="2139"/>
      <c r="BB924" s="75"/>
      <c r="BC924" s="75"/>
      <c r="BD924" s="75"/>
      <c r="BE924" s="75"/>
      <c r="BF924" s="75"/>
      <c r="BG924" s="75"/>
      <c r="BH924" s="75"/>
      <c r="BI924" s="75"/>
      <c r="BJ924" s="75"/>
      <c r="BK924" s="75"/>
      <c r="BL924" s="75"/>
      <c r="BM924" s="75"/>
      <c r="BN924" s="75"/>
      <c r="BO924" s="75"/>
      <c r="BP924" s="75"/>
      <c r="BQ924" s="75"/>
      <c r="BR924" s="75"/>
      <c r="BS924" s="75"/>
      <c r="BT924" s="75"/>
      <c r="BU924" s="75"/>
      <c r="BV924" s="75"/>
      <c r="BW924" s="75"/>
      <c r="BX924" s="75"/>
      <c r="BY924" s="75"/>
      <c r="BZ924" s="75"/>
      <c r="CA924" s="75"/>
      <c r="CB924" s="75"/>
      <c r="CC924" s="75"/>
      <c r="CD924" s="75"/>
      <c r="CE924" s="75"/>
      <c r="CF924" s="75"/>
      <c r="CG924" s="75"/>
      <c r="CH924" s="75"/>
      <c r="CI924" s="75"/>
      <c r="CJ924" s="75"/>
      <c r="CK924" s="75"/>
      <c r="CL924" s="75"/>
      <c r="CM924" s="75"/>
      <c r="CN924" s="75"/>
      <c r="CO924" s="75"/>
      <c r="CP924" s="75"/>
      <c r="CQ924" s="75"/>
      <c r="CR924" s="75"/>
      <c r="CS924" s="75"/>
    </row>
    <row r="925" spans="1:97" ht="12.75" customHeight="1">
      <c r="B925" s="116"/>
      <c r="C925" s="44" t="s">
        <v>459</v>
      </c>
      <c r="D925" s="116"/>
      <c r="E925" s="116"/>
      <c r="F925" s="116"/>
      <c r="G925" s="116"/>
      <c r="H925" s="116"/>
      <c r="I925" s="116"/>
      <c r="J925" s="116"/>
      <c r="K925" s="116"/>
      <c r="L925" s="116"/>
      <c r="M925" s="116"/>
      <c r="N925" s="116"/>
      <c r="O925" s="116"/>
      <c r="P925" s="116"/>
      <c r="Q925" s="116"/>
      <c r="R925" s="116"/>
      <c r="S925" s="116"/>
      <c r="T925" s="116"/>
      <c r="U925" s="116"/>
      <c r="V925" s="116"/>
      <c r="W925" s="116"/>
      <c r="X925" s="116"/>
      <c r="Y925" s="116"/>
      <c r="Z925" s="116"/>
      <c r="AA925" s="116"/>
      <c r="AB925" s="116"/>
      <c r="AC925" s="116"/>
      <c r="AD925" s="116"/>
      <c r="AE925" s="116"/>
      <c r="AF925" s="116"/>
      <c r="AG925" s="116"/>
      <c r="AH925" s="116"/>
      <c r="AI925" s="116"/>
      <c r="AJ925" s="116"/>
      <c r="AK925" s="116"/>
      <c r="AL925" s="119"/>
      <c r="AM925" s="75"/>
      <c r="AN925" s="75"/>
      <c r="AO925" s="75"/>
      <c r="AP925" s="75"/>
      <c r="AQ925" s="75"/>
      <c r="AR925" s="75"/>
      <c r="AS925" s="75"/>
      <c r="AT925" s="75"/>
      <c r="AU925" s="75"/>
      <c r="AV925" s="75"/>
      <c r="AW925" s="66" t="s">
        <v>552</v>
      </c>
      <c r="AX925" s="319">
        <v>10</v>
      </c>
      <c r="AY925" s="2119">
        <f>IF(AD983&gt;0,0.1,0)</f>
        <v>0</v>
      </c>
      <c r="AZ925" s="2120"/>
      <c r="BA925" s="557"/>
      <c r="BB925" s="75"/>
      <c r="BC925" s="75"/>
      <c r="BD925" s="75"/>
      <c r="BE925" s="75"/>
      <c r="BF925" s="75"/>
      <c r="BG925" s="75"/>
      <c r="BH925" s="75"/>
      <c r="BI925" s="75"/>
      <c r="BJ925" s="75"/>
      <c r="BK925" s="75"/>
      <c r="BL925" s="75"/>
      <c r="BM925" s="75"/>
      <c r="BN925" s="75"/>
      <c r="BO925" s="75"/>
      <c r="BP925" s="75"/>
      <c r="BQ925" s="75"/>
      <c r="BR925" s="75"/>
      <c r="BS925" s="75"/>
      <c r="BT925" s="75"/>
      <c r="BU925" s="75"/>
      <c r="BV925" s="75"/>
      <c r="BW925" s="75"/>
      <c r="BX925" s="75"/>
      <c r="BY925" s="75"/>
      <c r="BZ925" s="75"/>
      <c r="CA925" s="75"/>
      <c r="CB925" s="75"/>
      <c r="CC925" s="75"/>
      <c r="CD925" s="75"/>
      <c r="CE925" s="75"/>
      <c r="CF925" s="75"/>
      <c r="CG925" s="75"/>
      <c r="CH925" s="75"/>
      <c r="CI925" s="75"/>
      <c r="CJ925" s="75"/>
      <c r="CK925" s="75"/>
      <c r="CL925" s="75"/>
      <c r="CM925" s="75"/>
      <c r="CN925" s="75"/>
      <c r="CO925" s="75"/>
      <c r="CP925" s="75"/>
      <c r="CQ925" s="75"/>
      <c r="CR925" s="75"/>
      <c r="CS925" s="75"/>
    </row>
    <row r="926" spans="1:97" ht="12.75" customHeight="1">
      <c r="B926" s="116"/>
      <c r="C926" s="44"/>
      <c r="D926" s="116"/>
      <c r="E926" s="116"/>
      <c r="F926" s="116"/>
      <c r="G926" s="116"/>
      <c r="H926" s="116"/>
      <c r="I926" s="116"/>
      <c r="J926" s="116"/>
      <c r="K926" s="116"/>
      <c r="L926" s="116"/>
      <c r="M926" s="116"/>
      <c r="N926" s="116"/>
      <c r="O926" s="116"/>
      <c r="P926" s="116"/>
      <c r="Q926" s="116"/>
      <c r="R926" s="116"/>
      <c r="S926" s="116"/>
      <c r="T926" s="116"/>
      <c r="U926" s="116"/>
      <c r="V926" s="116"/>
      <c r="W926" s="116"/>
      <c r="X926" s="116"/>
      <c r="Y926" s="116"/>
      <c r="Z926" s="116"/>
      <c r="AA926" s="116"/>
      <c r="AB926" s="116"/>
      <c r="AC926" s="116"/>
      <c r="AD926" s="116"/>
      <c r="AE926" s="116"/>
      <c r="AF926" s="116"/>
      <c r="AG926" s="116"/>
      <c r="AH926" s="116"/>
      <c r="AI926" s="116"/>
      <c r="AJ926" s="116"/>
      <c r="AK926" s="116"/>
      <c r="AL926" s="119"/>
      <c r="AM926" s="75"/>
      <c r="AN926" s="75"/>
      <c r="AO926" s="75"/>
      <c r="AP926" s="75"/>
      <c r="AQ926" s="75"/>
      <c r="AR926" s="75"/>
      <c r="AS926" s="75"/>
      <c r="AT926" s="75"/>
      <c r="AU926" s="75"/>
      <c r="AV926" s="75"/>
      <c r="AW926" s="66"/>
      <c r="AX926" s="319"/>
      <c r="AY926" s="2135">
        <f>SUM(AY917:AY925)</f>
        <v>0.04</v>
      </c>
      <c r="AZ926" s="2136"/>
      <c r="BA926" s="30" t="s">
        <v>676</v>
      </c>
      <c r="BB926" s="75"/>
      <c r="BC926" s="75"/>
      <c r="BD926" s="75"/>
      <c r="BE926" s="75"/>
      <c r="BF926" s="75"/>
      <c r="BG926" s="75"/>
      <c r="BH926" s="75"/>
      <c r="BI926" s="75"/>
      <c r="BJ926" s="75"/>
      <c r="BK926" s="75"/>
      <c r="BL926" s="75"/>
      <c r="BM926" s="75"/>
      <c r="BN926" s="75"/>
      <c r="BO926" s="75"/>
      <c r="BP926" s="75"/>
      <c r="BQ926" s="75"/>
      <c r="BR926" s="75"/>
      <c r="BS926" s="75"/>
      <c r="BT926" s="75"/>
      <c r="BU926" s="75"/>
      <c r="BV926" s="75"/>
      <c r="BW926" s="75"/>
      <c r="BX926" s="75"/>
      <c r="BY926" s="75"/>
      <c r="BZ926" s="75"/>
      <c r="CA926" s="75"/>
      <c r="CB926" s="75"/>
      <c r="CC926" s="75"/>
      <c r="CD926" s="75"/>
      <c r="CE926" s="75"/>
      <c r="CF926" s="75"/>
      <c r="CG926" s="75"/>
      <c r="CH926" s="75"/>
      <c r="CI926" s="75"/>
      <c r="CJ926" s="75"/>
      <c r="CK926" s="75"/>
      <c r="CL926" s="75"/>
      <c r="CM926" s="75"/>
      <c r="CN926" s="75"/>
      <c r="CO926" s="75"/>
      <c r="CP926" s="75"/>
      <c r="CQ926" s="75"/>
      <c r="CR926" s="75"/>
      <c r="CS926" s="75"/>
    </row>
    <row r="927" spans="1:97" ht="12.75" customHeight="1">
      <c r="F927" s="90" t="s">
        <v>929</v>
      </c>
      <c r="G927" s="91"/>
      <c r="H927" s="91"/>
      <c r="I927" s="91"/>
      <c r="J927" s="91"/>
      <c r="K927" s="91"/>
      <c r="L927" s="92"/>
      <c r="M927" s="2127"/>
      <c r="N927" s="2128"/>
      <c r="O927" s="2128"/>
      <c r="P927" s="2128"/>
      <c r="Q927" s="2128"/>
      <c r="R927" s="2128"/>
      <c r="S927" s="1773"/>
      <c r="T927" s="117" t="s">
        <v>1054</v>
      </c>
      <c r="U927" s="91"/>
      <c r="V927" s="91"/>
      <c r="W927" s="91"/>
      <c r="X927" s="91"/>
      <c r="Y927" s="91"/>
      <c r="Z927" s="92"/>
      <c r="AA927" s="2127"/>
      <c r="AB927" s="2128"/>
      <c r="AC927" s="2128"/>
      <c r="AD927" s="2128"/>
      <c r="AE927" s="2128"/>
      <c r="AF927" s="2128"/>
      <c r="AG927" s="1773"/>
      <c r="AL927" s="119"/>
      <c r="AM927" s="75"/>
      <c r="AN927" s="75"/>
      <c r="AO927" s="75"/>
      <c r="AP927" s="75"/>
      <c r="AQ927" s="75"/>
      <c r="AR927" s="75"/>
      <c r="AS927" s="75"/>
      <c r="AT927" s="75"/>
      <c r="AU927" s="75"/>
      <c r="AV927" s="75"/>
      <c r="AX927" s="319"/>
      <c r="BA927" s="30"/>
      <c r="BB927" s="75"/>
      <c r="BC927" s="75"/>
      <c r="BD927" s="75"/>
      <c r="BE927" s="75"/>
      <c r="BF927" s="75"/>
      <c r="BG927" s="75"/>
      <c r="BH927" s="75"/>
      <c r="BI927" s="75"/>
      <c r="BJ927" s="75"/>
      <c r="BK927" s="75"/>
      <c r="BL927" s="75"/>
      <c r="BM927" s="75"/>
      <c r="BN927" s="75"/>
      <c r="BO927" s="75"/>
      <c r="BP927" s="75"/>
      <c r="BQ927" s="75"/>
      <c r="BR927" s="75"/>
      <c r="BS927" s="75"/>
      <c r="BT927" s="75"/>
      <c r="BU927" s="75"/>
      <c r="BV927" s="75"/>
      <c r="BW927" s="75"/>
      <c r="BX927" s="75"/>
      <c r="BY927" s="75"/>
      <c r="BZ927" s="75"/>
      <c r="CA927" s="75"/>
      <c r="CB927" s="75"/>
      <c r="CC927" s="75"/>
      <c r="CD927" s="75"/>
      <c r="CE927" s="75"/>
      <c r="CF927" s="75"/>
      <c r="CG927" s="75"/>
      <c r="CH927" s="75"/>
      <c r="CI927" s="75"/>
      <c r="CJ927" s="75"/>
      <c r="CK927" s="75"/>
      <c r="CL927" s="75"/>
      <c r="CM927" s="75"/>
      <c r="CN927" s="75"/>
      <c r="CO927" s="75"/>
      <c r="CP927" s="75"/>
      <c r="CQ927" s="75"/>
      <c r="CR927" s="75"/>
      <c r="CS927" s="75"/>
    </row>
    <row r="928" spans="1:97" ht="12.75" customHeight="1">
      <c r="F928" s="90" t="s">
        <v>930</v>
      </c>
      <c r="G928" s="91"/>
      <c r="H928" s="91"/>
      <c r="I928" s="91"/>
      <c r="J928" s="91"/>
      <c r="K928" s="91"/>
      <c r="L928" s="92"/>
      <c r="M928" s="2127"/>
      <c r="N928" s="2128"/>
      <c r="O928" s="2128"/>
      <c r="P928" s="2128"/>
      <c r="Q928" s="2128"/>
      <c r="R928" s="2128"/>
      <c r="S928" s="1773"/>
      <c r="T928" s="117" t="s">
        <v>1053</v>
      </c>
      <c r="U928" s="91"/>
      <c r="V928" s="91"/>
      <c r="W928" s="91"/>
      <c r="X928" s="91"/>
      <c r="Y928" s="91"/>
      <c r="Z928" s="92"/>
      <c r="AA928" s="2127"/>
      <c r="AB928" s="2128"/>
      <c r="AC928" s="2128"/>
      <c r="AD928" s="2128"/>
      <c r="AE928" s="2128"/>
      <c r="AF928" s="2128"/>
      <c r="AG928" s="1773"/>
      <c r="AL928" s="119"/>
      <c r="AM928" s="75"/>
      <c r="AN928" s="75"/>
      <c r="AO928" s="75"/>
      <c r="AP928" s="75"/>
      <c r="AQ928" s="75"/>
      <c r="AR928" s="75"/>
      <c r="AS928" s="75"/>
      <c r="AT928" s="75"/>
      <c r="AU928" s="75"/>
      <c r="AV928" s="75"/>
      <c r="AW928" s="66"/>
      <c r="AX928" s="66"/>
      <c r="AY928" s="2135">
        <f>SUM(AY917:AZ921)+AY925</f>
        <v>0</v>
      </c>
      <c r="AZ928" s="2136"/>
      <c r="BA928" s="2140">
        <v>0.39</v>
      </c>
      <c r="BB928" s="2141"/>
      <c r="BC928" s="75"/>
      <c r="BD928" s="75"/>
      <c r="BE928" s="75"/>
      <c r="BF928" s="75"/>
      <c r="BG928" s="75"/>
      <c r="BH928" s="75"/>
      <c r="BI928" s="75"/>
      <c r="BJ928" s="75"/>
      <c r="BK928" s="75"/>
      <c r="BL928" s="75"/>
      <c r="BM928" s="75"/>
      <c r="BN928" s="75"/>
      <c r="BO928" s="75"/>
      <c r="BP928" s="75"/>
      <c r="BQ928" s="75"/>
      <c r="BR928" s="75"/>
      <c r="BS928" s="75"/>
      <c r="BT928" s="75"/>
      <c r="BU928" s="75"/>
      <c r="BV928" s="75"/>
      <c r="BW928" s="75"/>
      <c r="BX928" s="75"/>
      <c r="BY928" s="75"/>
      <c r="BZ928" s="75"/>
      <c r="CA928" s="75"/>
      <c r="CB928" s="75"/>
      <c r="CC928" s="75"/>
      <c r="CD928" s="75"/>
      <c r="CE928" s="75"/>
      <c r="CF928" s="75"/>
      <c r="CG928" s="75"/>
      <c r="CH928" s="75"/>
      <c r="CI928" s="75"/>
      <c r="CJ928" s="75"/>
      <c r="CK928" s="75"/>
      <c r="CL928" s="75"/>
      <c r="CM928" s="75"/>
      <c r="CN928" s="75"/>
      <c r="CO928" s="75"/>
      <c r="CP928" s="75"/>
      <c r="CQ928" s="75"/>
      <c r="CR928" s="75"/>
      <c r="CS928" s="75"/>
    </row>
    <row r="929" spans="1:97" ht="12.75" customHeight="1">
      <c r="F929" s="117" t="s">
        <v>1263</v>
      </c>
      <c r="G929" s="91"/>
      <c r="H929" s="91"/>
      <c r="I929" s="91"/>
      <c r="J929" s="91"/>
      <c r="K929" s="91"/>
      <c r="L929" s="92"/>
      <c r="M929" s="1921" t="s">
        <v>136</v>
      </c>
      <c r="N929" s="1796"/>
      <c r="O929" s="1796"/>
      <c r="P929" s="1796"/>
      <c r="Q929" s="1796"/>
      <c r="R929" s="1796"/>
      <c r="S929" s="1905"/>
      <c r="T929" s="90" t="s">
        <v>626</v>
      </c>
      <c r="U929" s="91"/>
      <c r="V929" s="91"/>
      <c r="W929" s="91"/>
      <c r="X929" s="91"/>
      <c r="Y929" s="91"/>
      <c r="Z929" s="92"/>
      <c r="AA929" s="2127"/>
      <c r="AB929" s="2128"/>
      <c r="AC929" s="2128"/>
      <c r="AD929" s="2128"/>
      <c r="AE929" s="2128"/>
      <c r="AF929" s="2128"/>
      <c r="AG929" s="1773"/>
      <c r="AL929" s="119"/>
      <c r="AM929" s="75"/>
      <c r="AN929" s="75"/>
      <c r="AO929" s="75"/>
      <c r="AP929" s="75"/>
      <c r="AQ929" s="75"/>
      <c r="AR929" s="75"/>
      <c r="AS929" s="75"/>
      <c r="AT929" s="75"/>
      <c r="AU929" s="75"/>
      <c r="AV929" s="75"/>
      <c r="AW929" s="75"/>
      <c r="AX929" s="75"/>
      <c r="AY929" s="75"/>
      <c r="AZ929" s="75"/>
      <c r="BA929" s="75"/>
      <c r="BB929" s="75"/>
      <c r="BC929" s="75"/>
      <c r="BD929" s="75"/>
      <c r="BE929" s="75"/>
      <c r="BF929" s="75"/>
      <c r="BG929" s="75"/>
      <c r="BH929" s="75"/>
      <c r="BI929" s="75"/>
      <c r="BJ929" s="75"/>
      <c r="BK929" s="75"/>
      <c r="BL929" s="75"/>
      <c r="BM929" s="75"/>
      <c r="BN929" s="75"/>
      <c r="BO929" s="75"/>
      <c r="BP929" s="75"/>
      <c r="BQ929" s="75"/>
      <c r="BR929" s="75"/>
      <c r="BS929" s="75"/>
      <c r="BT929" s="75"/>
      <c r="BU929" s="75"/>
      <c r="BV929" s="75"/>
      <c r="BW929" s="75"/>
      <c r="BX929" s="75"/>
      <c r="BY929" s="75"/>
      <c r="BZ929" s="75"/>
      <c r="CA929" s="75"/>
      <c r="CB929" s="75"/>
      <c r="CC929" s="75"/>
      <c r="CD929" s="75"/>
      <c r="CE929" s="75"/>
      <c r="CF929" s="75"/>
      <c r="CG929" s="75"/>
      <c r="CH929" s="75"/>
      <c r="CI929" s="75"/>
      <c r="CJ929" s="75"/>
      <c r="CK929" s="75"/>
      <c r="CL929" s="75"/>
      <c r="CM929" s="75"/>
      <c r="CN929" s="75"/>
      <c r="CO929" s="75"/>
      <c r="CP929" s="75"/>
      <c r="CQ929" s="75"/>
      <c r="CR929" s="75"/>
      <c r="CS929" s="75"/>
    </row>
    <row r="930" spans="1:97" ht="12.75" customHeight="1">
      <c r="F930" s="90" t="s">
        <v>931</v>
      </c>
      <c r="G930" s="91"/>
      <c r="H930" s="91"/>
      <c r="I930" s="91"/>
      <c r="J930" s="91"/>
      <c r="K930" s="91"/>
      <c r="L930" s="92"/>
      <c r="M930" s="2127"/>
      <c r="N930" s="2128"/>
      <c r="O930" s="2128"/>
      <c r="P930" s="2128"/>
      <c r="Q930" s="2128"/>
      <c r="R930" s="2128"/>
      <c r="S930" s="1773"/>
      <c r="T930" s="90" t="s">
        <v>627</v>
      </c>
      <c r="U930" s="91"/>
      <c r="V930" s="91"/>
      <c r="W930" s="91"/>
      <c r="X930" s="91"/>
      <c r="Y930" s="91"/>
      <c r="Z930" s="92"/>
      <c r="AA930" s="2127"/>
      <c r="AB930" s="2128"/>
      <c r="AC930" s="2128"/>
      <c r="AD930" s="2128"/>
      <c r="AE930" s="2128"/>
      <c r="AF930" s="2128"/>
      <c r="AG930" s="1773"/>
      <c r="AL930" s="119"/>
      <c r="AM930" s="75"/>
      <c r="AN930" s="75"/>
      <c r="AO930" s="75"/>
      <c r="AP930" s="75"/>
      <c r="AQ930" s="75"/>
      <c r="AR930" s="75"/>
      <c r="AS930" s="75"/>
      <c r="AT930" s="75"/>
      <c r="AU930" s="75"/>
      <c r="AV930" s="75"/>
      <c r="AW930" s="75"/>
      <c r="AX930" s="75"/>
      <c r="AY930" s="563">
        <f>IF(SUM(BA943:BA951)&lt;=0.1,SUM(BA943:BA951),0.1)</f>
        <v>0.04</v>
      </c>
      <c r="AZ930" s="75"/>
      <c r="BA930" s="72" t="s">
        <v>2317</v>
      </c>
      <c r="BB930" s="75"/>
      <c r="BC930" s="75"/>
      <c r="BD930" s="75"/>
      <c r="BE930" s="75"/>
      <c r="BF930" s="75"/>
      <c r="BG930" s="75"/>
      <c r="BH930" s="75"/>
      <c r="BI930" s="75"/>
      <c r="BJ930" s="75"/>
      <c r="BK930" s="75"/>
      <c r="BL930" s="75"/>
      <c r="BM930" s="75"/>
      <c r="BN930" s="75"/>
      <c r="BO930" s="75"/>
      <c r="BP930" s="75"/>
      <c r="BQ930" s="75"/>
      <c r="BR930" s="75"/>
      <c r="BS930" s="75"/>
      <c r="BT930" s="75"/>
      <c r="BU930" s="75"/>
      <c r="BV930" s="75"/>
      <c r="BW930" s="75"/>
      <c r="BX930" s="75"/>
      <c r="BY930" s="75"/>
      <c r="BZ930" s="75"/>
      <c r="CA930" s="75"/>
      <c r="CB930" s="75"/>
      <c r="CC930" s="75"/>
      <c r="CD930" s="75"/>
      <c r="CE930" s="75"/>
      <c r="CF930" s="75"/>
      <c r="CG930" s="75"/>
      <c r="CH930" s="75"/>
      <c r="CI930" s="75"/>
      <c r="CJ930" s="75"/>
      <c r="CK930" s="75"/>
      <c r="CL930" s="75"/>
      <c r="CM930" s="75"/>
      <c r="CN930" s="75"/>
      <c r="CO930" s="75"/>
      <c r="CP930" s="75"/>
      <c r="CQ930" s="75"/>
      <c r="CR930" s="75"/>
      <c r="CS930" s="75"/>
    </row>
    <row r="931" spans="1:97" ht="12.75" customHeight="1">
      <c r="F931" s="90" t="s">
        <v>94</v>
      </c>
      <c r="G931" s="91"/>
      <c r="H931" s="91"/>
      <c r="I931" s="91"/>
      <c r="J931" s="91"/>
      <c r="K931" s="91"/>
      <c r="L931" s="92"/>
      <c r="M931" s="2127"/>
      <c r="N931" s="2128"/>
      <c r="O931" s="2128"/>
      <c r="P931" s="2128"/>
      <c r="Q931" s="2128"/>
      <c r="R931" s="2128"/>
      <c r="S931" s="1773"/>
      <c r="T931" s="90" t="s">
        <v>542</v>
      </c>
      <c r="U931" s="91"/>
      <c r="V931" s="91"/>
      <c r="W931" s="91"/>
      <c r="X931" s="91"/>
      <c r="Y931" s="91"/>
      <c r="Z931" s="92"/>
      <c r="AA931" s="2127"/>
      <c r="AB931" s="2128"/>
      <c r="AC931" s="2128"/>
      <c r="AD931" s="2128"/>
      <c r="AE931" s="2128"/>
      <c r="AF931" s="2128"/>
      <c r="AG931" s="1773"/>
      <c r="AL931" s="119"/>
      <c r="AM931" s="75"/>
      <c r="AN931" s="75"/>
      <c r="AO931" s="75"/>
      <c r="AP931" s="75"/>
      <c r="AQ931" s="75"/>
      <c r="AR931" s="75"/>
      <c r="AS931" s="75"/>
      <c r="AT931" s="75"/>
      <c r="AU931" s="75"/>
      <c r="AV931" s="75"/>
      <c r="AW931" s="75"/>
      <c r="AX931" s="75"/>
      <c r="AY931" s="75"/>
      <c r="AZ931" s="75"/>
      <c r="BA931" s="75"/>
      <c r="BB931" s="75"/>
      <c r="BC931" s="75"/>
      <c r="BD931" s="75"/>
      <c r="BE931" s="75"/>
      <c r="BF931" s="75"/>
      <c r="BG931" s="75"/>
      <c r="BH931" s="75"/>
      <c r="BI931" s="75"/>
      <c r="BJ931" s="75"/>
      <c r="BK931" s="75"/>
      <c r="BL931" s="75"/>
      <c r="BM931" s="75"/>
      <c r="BN931" s="75"/>
      <c r="BO931" s="75"/>
      <c r="BP931" s="75"/>
      <c r="BQ931" s="75"/>
      <c r="BR931" s="75"/>
      <c r="BS931" s="75"/>
      <c r="BT931" s="75"/>
      <c r="BU931" s="75"/>
      <c r="BV931" s="75"/>
      <c r="BW931" s="75"/>
      <c r="BX931" s="75"/>
      <c r="BY931" s="75"/>
      <c r="BZ931" s="75"/>
      <c r="CA931" s="75"/>
      <c r="CB931" s="75"/>
      <c r="CC931" s="75"/>
      <c r="CD931" s="75"/>
      <c r="CE931" s="75"/>
      <c r="CF931" s="75"/>
      <c r="CG931" s="75"/>
      <c r="CH931" s="75"/>
      <c r="CI931" s="75"/>
      <c r="CJ931" s="75"/>
      <c r="CK931" s="75"/>
      <c r="CL931" s="75"/>
      <c r="CM931" s="75"/>
      <c r="CN931" s="75"/>
      <c r="CO931" s="75"/>
      <c r="CP931" s="75"/>
      <c r="CQ931" s="75"/>
      <c r="CR931" s="75"/>
      <c r="CS931" s="75"/>
    </row>
    <row r="932" spans="1:97" ht="12.75" customHeight="1">
      <c r="F932" s="655" t="s">
        <v>1227</v>
      </c>
      <c r="G932" s="86"/>
      <c r="H932" s="86"/>
      <c r="I932" s="86"/>
      <c r="J932" s="86"/>
      <c r="K932" s="86"/>
      <c r="L932" s="108"/>
      <c r="M932" s="2129" t="s">
        <v>86</v>
      </c>
      <c r="N932" s="2130"/>
      <c r="O932" s="2130"/>
      <c r="P932" s="2130"/>
      <c r="Q932" s="2130"/>
      <c r="R932" s="2130"/>
      <c r="S932" s="2131"/>
      <c r="T932" s="2178"/>
      <c r="U932" s="2179"/>
      <c r="V932" s="2179"/>
      <c r="W932" s="2179"/>
      <c r="X932" s="2179"/>
      <c r="Y932" s="2179"/>
      <c r="Z932" s="2180"/>
      <c r="AA932" s="2127"/>
      <c r="AB932" s="2128"/>
      <c r="AC932" s="2128"/>
      <c r="AD932" s="2128"/>
      <c r="AE932" s="2128"/>
      <c r="AF932" s="2128"/>
      <c r="AG932" s="1773"/>
      <c r="AL932" s="119"/>
      <c r="AM932" s="75"/>
      <c r="AN932" s="75"/>
      <c r="AO932" s="75"/>
      <c r="AP932" s="75"/>
      <c r="AQ932" s="75"/>
      <c r="AR932" s="75"/>
      <c r="AS932" s="75"/>
      <c r="AT932" s="75"/>
      <c r="AU932" s="75"/>
      <c r="AV932" s="75"/>
      <c r="AW932" s="75"/>
      <c r="AX932" s="75"/>
      <c r="AY932" s="75"/>
      <c r="AZ932" s="75"/>
      <c r="BA932" s="75"/>
      <c r="BB932" s="75"/>
      <c r="BC932" s="75"/>
      <c r="BD932" s="75"/>
      <c r="BE932" s="75"/>
      <c r="BF932" s="75"/>
      <c r="BG932" s="75"/>
      <c r="BH932" s="75"/>
      <c r="BI932" s="75"/>
      <c r="BJ932" s="75"/>
      <c r="BK932" s="75"/>
      <c r="BL932" s="75"/>
      <c r="BM932" s="75"/>
      <c r="BN932" s="75"/>
      <c r="BO932" s="75"/>
      <c r="BP932" s="75"/>
      <c r="BQ932" s="75"/>
      <c r="BR932" s="75"/>
      <c r="BS932" s="75"/>
      <c r="BT932" s="75"/>
      <c r="BU932" s="75"/>
      <c r="BV932" s="75"/>
      <c r="BW932" s="75"/>
      <c r="BX932" s="75"/>
      <c r="BY932" s="75"/>
      <c r="BZ932" s="75"/>
      <c r="CA932" s="75"/>
      <c r="CB932" s="75"/>
      <c r="CC932" s="75"/>
      <c r="CD932" s="75"/>
      <c r="CE932" s="75"/>
      <c r="CF932" s="75"/>
      <c r="CG932" s="75"/>
      <c r="CH932" s="75"/>
      <c r="CI932" s="75"/>
      <c r="CJ932" s="75"/>
      <c r="CK932" s="75"/>
      <c r="CL932" s="75"/>
      <c r="CM932" s="75"/>
      <c r="CN932" s="75"/>
      <c r="CO932" s="75"/>
      <c r="CP932" s="75"/>
      <c r="CQ932" s="75"/>
      <c r="CR932" s="75"/>
      <c r="CS932" s="75"/>
    </row>
    <row r="933" spans="1:97" ht="12.75" customHeight="1">
      <c r="F933" s="85" t="s">
        <v>95</v>
      </c>
      <c r="G933" s="86"/>
      <c r="H933" s="86"/>
      <c r="I933" s="86"/>
      <c r="J933" s="86"/>
      <c r="K933" s="86"/>
      <c r="L933" s="108"/>
      <c r="M933" s="2127"/>
      <c r="N933" s="2128"/>
      <c r="O933" s="2128"/>
      <c r="P933" s="2128"/>
      <c r="Q933" s="2128"/>
      <c r="R933" s="2128"/>
      <c r="S933" s="1773"/>
      <c r="T933" s="2178"/>
      <c r="U933" s="2179"/>
      <c r="V933" s="2179"/>
      <c r="W933" s="2179"/>
      <c r="X933" s="2179"/>
      <c r="Y933" s="2179"/>
      <c r="Z933" s="2180"/>
      <c r="AA933" s="2127"/>
      <c r="AB933" s="2128"/>
      <c r="AC933" s="2128"/>
      <c r="AD933" s="2128"/>
      <c r="AE933" s="2128"/>
      <c r="AF933" s="2128"/>
      <c r="AG933" s="1773"/>
      <c r="AL933" s="119"/>
      <c r="AM933" s="75"/>
      <c r="AN933" s="75"/>
      <c r="AO933" s="75"/>
      <c r="AP933" s="75"/>
      <c r="AQ933" s="75"/>
      <c r="AR933" s="75"/>
      <c r="AS933" s="75"/>
      <c r="AT933" s="75"/>
      <c r="AU933" s="75"/>
      <c r="AV933" s="75"/>
      <c r="AW933" s="75"/>
      <c r="AX933" s="75"/>
      <c r="AY933" s="75"/>
      <c r="AZ933" s="75"/>
      <c r="BA933" s="75"/>
      <c r="BB933" s="75"/>
      <c r="BC933" s="75"/>
      <c r="BD933" s="75"/>
      <c r="BE933" s="75"/>
      <c r="BF933" s="75"/>
      <c r="BG933" s="75"/>
      <c r="BH933" s="75"/>
      <c r="BI933" s="75"/>
      <c r="BJ933" s="75"/>
      <c r="BK933" s="75"/>
      <c r="BL933" s="75"/>
      <c r="BM933" s="75"/>
      <c r="BN933" s="75"/>
      <c r="BO933" s="75"/>
      <c r="BP933" s="75"/>
      <c r="BQ933" s="75"/>
      <c r="BR933" s="75"/>
      <c r="BS933" s="75"/>
      <c r="BT933" s="75"/>
      <c r="BU933" s="75"/>
      <c r="BV933" s="75"/>
      <c r="BW933" s="75"/>
      <c r="BX933" s="75"/>
      <c r="BY933" s="75"/>
      <c r="BZ933" s="75"/>
      <c r="CA933" s="75"/>
      <c r="CB933" s="75"/>
      <c r="CC933" s="75"/>
      <c r="CD933" s="75"/>
      <c r="CE933" s="75"/>
      <c r="CF933" s="75"/>
      <c r="CG933" s="75"/>
      <c r="CH933" s="75"/>
      <c r="CI933" s="75"/>
      <c r="CJ933" s="75"/>
      <c r="CK933" s="75"/>
      <c r="CL933" s="75"/>
      <c r="CM933" s="75"/>
      <c r="CN933" s="75"/>
      <c r="CO933" s="75"/>
      <c r="CP933" s="75"/>
      <c r="CQ933" s="75"/>
      <c r="CR933" s="75"/>
      <c r="CS933" s="75"/>
    </row>
    <row r="934" spans="1:97" ht="12.75" customHeight="1">
      <c r="F934" s="85" t="s">
        <v>625</v>
      </c>
      <c r="G934" s="86"/>
      <c r="H934" s="86"/>
      <c r="I934" s="86"/>
      <c r="J934" s="86"/>
      <c r="K934" s="86"/>
      <c r="L934" s="86"/>
      <c r="M934" s="86"/>
      <c r="N934" s="86"/>
      <c r="O934" s="1921" t="s">
        <v>531</v>
      </c>
      <c r="P934" s="1905"/>
      <c r="Q934" s="228"/>
      <c r="R934" s="228"/>
      <c r="S934" s="229"/>
      <c r="T934" s="85" t="s">
        <v>311</v>
      </c>
      <c r="U934" s="86"/>
      <c r="V934" s="86"/>
      <c r="W934" s="2015" t="s">
        <v>622</v>
      </c>
      <c r="X934" s="1991"/>
      <c r="Y934" s="1991"/>
      <c r="Z934" s="1991"/>
      <c r="AA934" s="1991"/>
      <c r="AB934" s="1991"/>
      <c r="AC934" s="1991"/>
      <c r="AD934" s="1991"/>
      <c r="AE934" s="1991"/>
      <c r="AF934" s="1991"/>
      <c r="AG934" s="1992"/>
      <c r="AL934" s="119"/>
      <c r="AM934" s="75"/>
      <c r="AN934" s="75"/>
      <c r="AO934" s="75"/>
      <c r="AP934" s="75"/>
      <c r="AQ934" s="75"/>
      <c r="AR934" s="75"/>
      <c r="AS934" s="75"/>
      <c r="AT934" s="75"/>
      <c r="AU934" s="75"/>
      <c r="AV934" s="75"/>
      <c r="AW934" s="75"/>
      <c r="AX934" s="75"/>
      <c r="AY934" s="75"/>
      <c r="AZ934" s="75"/>
      <c r="BA934" s="75"/>
      <c r="BB934" s="75"/>
      <c r="BC934" s="75"/>
      <c r="BD934" s="75"/>
      <c r="BE934" s="75"/>
      <c r="BF934" s="75"/>
      <c r="BG934" s="75"/>
      <c r="BH934" s="75"/>
      <c r="BI934" s="75"/>
      <c r="BJ934" s="75"/>
      <c r="BK934" s="75"/>
      <c r="BL934" s="75"/>
      <c r="BM934" s="75"/>
      <c r="BN934" s="75"/>
      <c r="BO934" s="75"/>
      <c r="BP934" s="75"/>
      <c r="BQ934" s="75"/>
      <c r="BR934" s="75"/>
      <c r="BS934" s="75"/>
      <c r="BT934" s="75"/>
      <c r="BU934" s="75"/>
      <c r="BV934" s="75"/>
      <c r="BW934" s="75"/>
      <c r="BX934" s="75"/>
      <c r="BY934" s="75"/>
      <c r="BZ934" s="75"/>
      <c r="CA934" s="75"/>
      <c r="CB934" s="75"/>
      <c r="CC934" s="75"/>
      <c r="CD934" s="75"/>
      <c r="CE934" s="75"/>
      <c r="CF934" s="75"/>
      <c r="CG934" s="75"/>
      <c r="CH934" s="75"/>
      <c r="CI934" s="75"/>
      <c r="CJ934" s="75"/>
      <c r="CK934" s="75"/>
      <c r="CL934" s="75"/>
      <c r="CM934" s="75"/>
      <c r="CN934" s="75"/>
      <c r="CO934" s="75"/>
      <c r="CP934" s="75"/>
      <c r="CQ934" s="75"/>
      <c r="CR934" s="75"/>
      <c r="CS934" s="75"/>
    </row>
    <row r="935" spans="1:97" ht="12.75" customHeight="1">
      <c r="F935" s="1762" t="s">
        <v>252</v>
      </c>
      <c r="G935" s="1763"/>
      <c r="H935" s="1763"/>
      <c r="I935" s="1763"/>
      <c r="J935" s="1763"/>
      <c r="K935" s="1763"/>
      <c r="L935" s="1763"/>
      <c r="M935" s="2127"/>
      <c r="N935" s="2128"/>
      <c r="O935" s="2128"/>
      <c r="P935" s="2128"/>
      <c r="Q935" s="2128"/>
      <c r="R935" s="2128"/>
      <c r="S935" s="1773"/>
      <c r="T935" s="93"/>
      <c r="U935" s="94"/>
      <c r="V935" s="94"/>
      <c r="W935" s="94"/>
      <c r="X935" s="94"/>
      <c r="Y935" s="94"/>
      <c r="Z935" s="351" t="s">
        <v>253</v>
      </c>
      <c r="AA935" s="2196"/>
      <c r="AB935" s="2197"/>
      <c r="AC935" s="2197"/>
      <c r="AD935" s="2197"/>
      <c r="AE935" s="2197"/>
      <c r="AF935" s="2197"/>
      <c r="AG935" s="2198"/>
      <c r="AL935" s="119"/>
      <c r="AM935" s="75"/>
      <c r="AN935" s="75"/>
      <c r="AO935" s="75"/>
      <c r="AP935" s="75"/>
      <c r="AQ935" s="75"/>
      <c r="AR935" s="75"/>
      <c r="AS935" s="75"/>
      <c r="AT935" s="75"/>
      <c r="AU935" s="75"/>
      <c r="AV935" s="75"/>
      <c r="AW935" s="75"/>
      <c r="AX935" s="75"/>
      <c r="AY935" s="75"/>
      <c r="AZ935" s="75"/>
      <c r="BA935" s="75"/>
      <c r="BB935" s="75"/>
      <c r="BC935" s="75"/>
      <c r="BD935" s="75"/>
      <c r="BE935" s="75"/>
      <c r="BF935" s="75"/>
      <c r="BG935" s="75"/>
      <c r="BH935" s="75"/>
      <c r="BI935" s="75"/>
      <c r="BJ935" s="75"/>
      <c r="BK935" s="75"/>
      <c r="BL935" s="75"/>
      <c r="BM935" s="75"/>
      <c r="BN935" s="75"/>
      <c r="BO935" s="75"/>
      <c r="BP935" s="75"/>
      <c r="BQ935" s="75"/>
      <c r="BR935" s="75"/>
      <c r="BS935" s="75"/>
      <c r="BT935" s="75"/>
      <c r="BU935" s="75"/>
      <c r="BV935" s="75"/>
      <c r="BW935" s="75"/>
      <c r="BX935" s="75"/>
      <c r="BY935" s="75"/>
      <c r="BZ935" s="75"/>
      <c r="CA935" s="75"/>
      <c r="CB935" s="75"/>
      <c r="CC935" s="75"/>
      <c r="CD935" s="75"/>
      <c r="CE935" s="75"/>
      <c r="CF935" s="75"/>
      <c r="CG935" s="75"/>
      <c r="CH935" s="75"/>
      <c r="CI935" s="75"/>
      <c r="CJ935" s="75"/>
      <c r="CK935" s="75"/>
      <c r="CL935" s="75"/>
      <c r="CM935" s="75"/>
      <c r="CN935" s="75"/>
      <c r="CO935" s="75"/>
      <c r="CP935" s="75"/>
      <c r="CQ935" s="75"/>
      <c r="CR935" s="75"/>
      <c r="CS935" s="75"/>
    </row>
    <row r="936" spans="1:97" ht="12.75" customHeight="1">
      <c r="AL936" s="119"/>
      <c r="AM936" s="75"/>
      <c r="AN936" s="75"/>
      <c r="AO936" s="75"/>
      <c r="AP936" s="75"/>
      <c r="AQ936" s="75"/>
      <c r="AR936" s="75"/>
      <c r="AS936" s="75"/>
      <c r="AT936" s="75"/>
      <c r="AU936" s="75"/>
      <c r="AV936" s="75"/>
      <c r="AW936" s="75"/>
      <c r="AX936" s="75"/>
      <c r="AY936" s="75"/>
      <c r="AZ936" s="75"/>
      <c r="BA936" s="75"/>
      <c r="BC936" s="75"/>
      <c r="BD936" s="75"/>
      <c r="BE936" s="75"/>
      <c r="BF936" s="75"/>
      <c r="BG936" s="75"/>
      <c r="BH936" s="75"/>
      <c r="BI936" s="75"/>
      <c r="BJ936" s="75"/>
      <c r="BK936" s="75"/>
      <c r="BL936" s="75"/>
      <c r="BM936" s="75"/>
      <c r="BN936" s="75"/>
      <c r="BO936" s="75"/>
      <c r="BP936" s="75"/>
      <c r="BQ936" s="75"/>
      <c r="BR936" s="75"/>
      <c r="BS936" s="75"/>
      <c r="BT936" s="75"/>
      <c r="BU936" s="75"/>
      <c r="BV936" s="75"/>
      <c r="BW936" s="75"/>
      <c r="BX936" s="75"/>
      <c r="BY936" s="75"/>
      <c r="BZ936" s="75"/>
      <c r="CA936" s="75"/>
      <c r="CB936" s="75"/>
      <c r="CC936" s="75"/>
      <c r="CD936" s="75"/>
      <c r="CE936" s="75"/>
      <c r="CF936" s="75"/>
      <c r="CG936" s="75"/>
      <c r="CH936" s="75"/>
      <c r="CI936" s="75"/>
      <c r="CJ936" s="75"/>
      <c r="CK936" s="75"/>
      <c r="CL936" s="75"/>
      <c r="CM936" s="75"/>
      <c r="CN936" s="75"/>
      <c r="CO936" s="75"/>
      <c r="CP936" s="75"/>
      <c r="CQ936" s="75"/>
      <c r="CR936" s="75"/>
      <c r="CS936" s="75"/>
    </row>
    <row r="937" spans="1:97" ht="12.75" customHeight="1">
      <c r="AM937" s="75"/>
      <c r="AN937" s="75"/>
      <c r="AO937" s="75"/>
      <c r="AP937" s="75"/>
      <c r="AQ937" s="75"/>
      <c r="AR937" s="75"/>
      <c r="AS937" s="75"/>
      <c r="AT937" s="75"/>
      <c r="AU937" s="75"/>
      <c r="AV937" s="75"/>
      <c r="AW937" s="75"/>
      <c r="AX937" s="75"/>
      <c r="AY937" s="75"/>
      <c r="AZ937" s="75"/>
      <c r="BA937" s="75"/>
      <c r="BB937" s="75"/>
      <c r="BC937" s="75"/>
      <c r="BD937" s="75"/>
      <c r="BE937" s="75"/>
      <c r="BF937" s="75"/>
      <c r="BG937" s="75"/>
      <c r="BH937" s="75"/>
      <c r="BI937" s="75"/>
      <c r="BJ937" s="75"/>
      <c r="BK937" s="75"/>
      <c r="BL937" s="75"/>
      <c r="BM937" s="75"/>
      <c r="BN937" s="75"/>
      <c r="BO937" s="75"/>
      <c r="BP937" s="75"/>
      <c r="BQ937" s="75"/>
      <c r="BR937" s="75"/>
      <c r="BS937" s="75"/>
      <c r="BT937" s="75"/>
      <c r="BU937" s="75"/>
      <c r="BV937" s="75"/>
      <c r="BW937" s="75"/>
      <c r="BX937" s="75"/>
      <c r="BY937" s="75"/>
      <c r="BZ937" s="75"/>
      <c r="CA937" s="75"/>
      <c r="CB937" s="75"/>
      <c r="CC937" s="75"/>
      <c r="CD937" s="75"/>
      <c r="CE937" s="75"/>
      <c r="CF937" s="75"/>
      <c r="CG937" s="75"/>
      <c r="CH937" s="75"/>
      <c r="CI937" s="75"/>
      <c r="CJ937" s="75"/>
      <c r="CK937" s="75"/>
      <c r="CL937" s="75"/>
      <c r="CM937" s="75"/>
      <c r="CN937" s="75"/>
      <c r="CO937" s="75"/>
      <c r="CP937" s="75"/>
      <c r="CQ937" s="75"/>
      <c r="CR937" s="75"/>
      <c r="CS937" s="75"/>
    </row>
    <row r="938" spans="1:97" ht="12.75" customHeight="1">
      <c r="AM938" s="75"/>
      <c r="AN938" s="75"/>
      <c r="AO938" s="75"/>
      <c r="AP938" s="75"/>
      <c r="AQ938" s="75"/>
      <c r="AR938" s="75"/>
      <c r="AS938" s="75"/>
      <c r="AT938" s="75"/>
      <c r="AU938" s="75"/>
      <c r="AV938" s="75"/>
      <c r="AW938" s="75"/>
      <c r="AX938" s="75"/>
      <c r="AY938" s="75"/>
      <c r="AZ938" s="75"/>
      <c r="BA938" s="75"/>
      <c r="BB938" s="75"/>
      <c r="BC938" s="75"/>
      <c r="BD938" s="75"/>
      <c r="BE938" s="75"/>
      <c r="BF938" s="75"/>
      <c r="BG938" s="75"/>
      <c r="BH938" s="75"/>
      <c r="BI938" s="75"/>
      <c r="BJ938" s="75"/>
      <c r="BK938" s="75"/>
      <c r="BL938" s="75"/>
      <c r="BM938" s="75"/>
      <c r="BN938" s="75"/>
      <c r="BO938" s="75"/>
      <c r="BP938" s="75"/>
      <c r="BQ938" s="75"/>
      <c r="BR938" s="75"/>
      <c r="BS938" s="75"/>
      <c r="BT938" s="75"/>
      <c r="BU938" s="75"/>
      <c r="BV938" s="75"/>
      <c r="BW938" s="75"/>
      <c r="BX938" s="75"/>
      <c r="BY938" s="75"/>
      <c r="BZ938" s="75"/>
      <c r="CA938" s="75"/>
      <c r="CB938" s="75"/>
      <c r="CC938" s="75"/>
      <c r="CD938" s="75"/>
      <c r="CE938" s="75"/>
      <c r="CF938" s="75"/>
      <c r="CG938" s="75"/>
      <c r="CH938" s="75"/>
      <c r="CI938" s="75"/>
      <c r="CJ938" s="75"/>
      <c r="CK938" s="75"/>
      <c r="CL938" s="75"/>
      <c r="CM938" s="75"/>
      <c r="CN938" s="75"/>
      <c r="CO938" s="75"/>
      <c r="CP938" s="75"/>
      <c r="CQ938" s="75"/>
      <c r="CR938" s="75"/>
      <c r="CS938" s="75"/>
    </row>
    <row r="939" spans="1:97" ht="12.75" customHeight="1">
      <c r="A939" s="1792" t="s">
        <v>141</v>
      </c>
      <c r="B939" s="1792"/>
      <c r="C939" s="1792"/>
      <c r="D939" s="1792"/>
      <c r="E939" s="1792"/>
      <c r="F939" s="1792"/>
      <c r="G939" s="1792"/>
      <c r="H939" s="1792"/>
      <c r="I939" s="1792"/>
      <c r="J939" s="1792"/>
      <c r="K939" s="1792"/>
      <c r="L939" s="1792"/>
      <c r="M939" s="1792"/>
      <c r="N939" s="1792"/>
      <c r="O939" s="1792"/>
      <c r="P939" s="1792"/>
      <c r="Q939" s="1792"/>
      <c r="R939" s="1792"/>
      <c r="S939" s="1792"/>
      <c r="T939" s="1792"/>
      <c r="U939" s="1792"/>
      <c r="V939" s="1792"/>
      <c r="W939" s="1792"/>
      <c r="X939" s="1792"/>
      <c r="Y939" s="1792"/>
      <c r="Z939" s="1792"/>
      <c r="AA939" s="1792"/>
      <c r="AB939" s="1792"/>
      <c r="AC939" s="1792"/>
      <c r="AD939" s="1792"/>
      <c r="AE939" s="1792"/>
      <c r="AF939" s="1792"/>
      <c r="AG939" s="1792"/>
      <c r="AH939" s="1792"/>
      <c r="AI939" s="1792"/>
      <c r="AJ939" s="1792"/>
      <c r="AK939" s="1792"/>
      <c r="AL939" s="1792"/>
      <c r="AM939" s="75"/>
      <c r="AN939" s="75"/>
      <c r="AO939" s="75"/>
      <c r="AP939" s="75"/>
      <c r="AQ939" s="75"/>
      <c r="AR939" s="75"/>
      <c r="AS939" s="75"/>
      <c r="AT939" s="75"/>
      <c r="AU939" s="75"/>
      <c r="AV939" s="75"/>
      <c r="AW939" s="75"/>
      <c r="AX939" s="75"/>
      <c r="AY939" s="75"/>
      <c r="AZ939" s="75"/>
      <c r="BA939" s="75"/>
      <c r="BB939" s="75"/>
      <c r="BC939" s="75"/>
      <c r="BD939" s="75"/>
      <c r="BE939" s="75"/>
      <c r="BF939" s="75"/>
      <c r="BG939" s="75"/>
      <c r="BH939" s="75"/>
      <c r="BI939" s="75"/>
      <c r="BJ939" s="75"/>
      <c r="BK939" s="75"/>
      <c r="BL939" s="75"/>
      <c r="BM939" s="75"/>
      <c r="BN939" s="75"/>
      <c r="BO939" s="75"/>
      <c r="BP939" s="75"/>
      <c r="BQ939" s="75"/>
      <c r="BR939" s="75"/>
      <c r="BS939" s="75"/>
      <c r="BT939" s="75"/>
      <c r="BU939" s="75"/>
      <c r="BV939" s="75"/>
      <c r="BW939" s="75"/>
      <c r="BX939" s="75"/>
      <c r="BY939" s="75"/>
      <c r="BZ939" s="75"/>
      <c r="CA939" s="75"/>
      <c r="CB939" s="75"/>
      <c r="CC939" s="75"/>
      <c r="CD939" s="75"/>
      <c r="CE939" s="75"/>
      <c r="CF939" s="75"/>
      <c r="CG939" s="75"/>
      <c r="CH939" s="75"/>
      <c r="CI939" s="75"/>
      <c r="CJ939" s="75"/>
      <c r="CK939" s="75"/>
      <c r="CL939" s="75"/>
      <c r="CM939" s="75"/>
      <c r="CN939" s="75"/>
      <c r="CO939" s="75"/>
      <c r="CP939" s="75"/>
      <c r="CQ939" s="75"/>
      <c r="CR939" s="75"/>
      <c r="CS939" s="75"/>
    </row>
    <row r="940" spans="1:97" ht="12.75" customHeight="1">
      <c r="A940" s="1792"/>
      <c r="B940" s="1792"/>
      <c r="C940" s="1792"/>
      <c r="D940" s="1792"/>
      <c r="E940" s="1792"/>
      <c r="F940" s="1792"/>
      <c r="G940" s="1792"/>
      <c r="H940" s="1792"/>
      <c r="I940" s="1792"/>
      <c r="J940" s="1792"/>
      <c r="K940" s="1792"/>
      <c r="L940" s="1792"/>
      <c r="M940" s="1792"/>
      <c r="N940" s="1792"/>
      <c r="O940" s="1792"/>
      <c r="P940" s="1792"/>
      <c r="Q940" s="1792"/>
      <c r="R940" s="1792"/>
      <c r="S940" s="1792"/>
      <c r="T940" s="1792"/>
      <c r="U940" s="1792"/>
      <c r="V940" s="1792"/>
      <c r="W940" s="1792"/>
      <c r="X940" s="1792"/>
      <c r="Y940" s="1792"/>
      <c r="Z940" s="1792"/>
      <c r="AA940" s="1792"/>
      <c r="AB940" s="1792"/>
      <c r="AC940" s="1792"/>
      <c r="AD940" s="1792"/>
      <c r="AE940" s="1792"/>
      <c r="AF940" s="1792"/>
      <c r="AG940" s="1792"/>
      <c r="AH940" s="1792"/>
      <c r="AI940" s="1792"/>
      <c r="AJ940" s="1792"/>
      <c r="AK940" s="1792"/>
      <c r="AL940" s="1792"/>
      <c r="AM940" s="75"/>
      <c r="AN940" s="75"/>
      <c r="AO940" s="75"/>
      <c r="AP940" s="75"/>
      <c r="AQ940" s="75"/>
      <c r="AR940" s="75"/>
      <c r="AS940" s="75"/>
      <c r="AT940" s="75"/>
      <c r="AU940" s="75"/>
      <c r="AV940" s="75"/>
      <c r="AW940" s="75"/>
      <c r="AX940" s="75"/>
      <c r="AY940" s="75"/>
      <c r="AZ940" s="75"/>
      <c r="BA940" s="75"/>
      <c r="BB940" s="75"/>
      <c r="BC940" s="75"/>
      <c r="BD940" s="75"/>
      <c r="BE940" s="75"/>
      <c r="BF940" s="75"/>
      <c r="BG940" s="75"/>
      <c r="BH940" s="75"/>
      <c r="BI940" s="75"/>
      <c r="BJ940" s="75"/>
      <c r="BK940" s="75"/>
      <c r="BL940" s="75"/>
      <c r="BM940" s="75"/>
      <c r="BN940" s="75"/>
      <c r="BO940" s="75"/>
      <c r="BP940" s="75"/>
      <c r="BQ940" s="75"/>
      <c r="BR940" s="75"/>
      <c r="BS940" s="75"/>
      <c r="BT940" s="75"/>
      <c r="BU940" s="75"/>
      <c r="BV940" s="75"/>
      <c r="BW940" s="75"/>
      <c r="BX940" s="75"/>
      <c r="BY940" s="75"/>
      <c r="BZ940" s="75"/>
      <c r="CA940" s="75"/>
      <c r="CB940" s="75"/>
      <c r="CC940" s="75"/>
      <c r="CD940" s="75"/>
      <c r="CE940" s="75"/>
      <c r="CF940" s="75"/>
      <c r="CG940" s="75"/>
      <c r="CH940" s="75"/>
      <c r="CI940" s="75"/>
      <c r="CJ940" s="75"/>
      <c r="CK940" s="75"/>
      <c r="CL940" s="75"/>
      <c r="CM940" s="75"/>
      <c r="CN940" s="75"/>
      <c r="CO940" s="75"/>
      <c r="CP940" s="75"/>
      <c r="CQ940" s="75"/>
      <c r="CR940" s="75"/>
      <c r="CS940" s="75"/>
    </row>
    <row r="941" spans="1:97" ht="12.75" customHeight="1">
      <c r="A941" s="62"/>
      <c r="B941" s="65"/>
      <c r="C941" s="65"/>
      <c r="D941" s="35"/>
      <c r="E941" s="35"/>
      <c r="F941" s="35"/>
      <c r="G941" s="3"/>
      <c r="H941" s="35"/>
      <c r="I941" s="65"/>
      <c r="J941" s="65"/>
      <c r="K941" s="65"/>
      <c r="L941" s="65"/>
      <c r="M941" s="65"/>
      <c r="N941" s="65"/>
      <c r="O941" s="65"/>
      <c r="P941" s="65"/>
      <c r="Q941" s="65"/>
      <c r="R941" s="65"/>
      <c r="S941" s="65"/>
      <c r="T941" s="65"/>
      <c r="U941" s="65"/>
      <c r="V941" s="65"/>
      <c r="W941" s="65"/>
      <c r="X941" s="65"/>
      <c r="Y941" s="65"/>
      <c r="Z941" s="65"/>
      <c r="AA941" s="65"/>
      <c r="AB941" s="65"/>
      <c r="AC941" s="65"/>
      <c r="AD941" s="65"/>
      <c r="AE941" s="65"/>
      <c r="AF941" s="65"/>
      <c r="AG941" s="65"/>
      <c r="AH941" s="65"/>
      <c r="AI941" s="65"/>
      <c r="AJ941" s="65"/>
      <c r="AK941" s="65"/>
      <c r="AM941" s="75"/>
      <c r="AN941" s="75"/>
      <c r="AO941" s="75"/>
      <c r="AP941" s="75"/>
      <c r="AQ941" s="75"/>
      <c r="AR941" s="75"/>
      <c r="AS941" s="75"/>
      <c r="AT941" s="75"/>
      <c r="AU941" s="75"/>
      <c r="AV941" s="75"/>
      <c r="AW941" s="75"/>
      <c r="AX941" s="75"/>
      <c r="AY941" s="75"/>
      <c r="AZ941" s="75"/>
      <c r="BA941" s="75"/>
      <c r="BB941" s="75"/>
      <c r="BC941" s="75"/>
      <c r="BD941" s="75"/>
      <c r="BE941" s="75"/>
      <c r="BF941" s="75"/>
      <c r="BG941" s="75"/>
      <c r="BH941" s="75"/>
      <c r="BI941" s="75"/>
      <c r="BJ941" s="75"/>
      <c r="BK941" s="75"/>
      <c r="BL941" s="75"/>
      <c r="BM941" s="75"/>
      <c r="BN941" s="75"/>
      <c r="BO941" s="75"/>
      <c r="BP941" s="75"/>
      <c r="BQ941" s="75"/>
      <c r="BR941" s="75"/>
      <c r="BS941" s="75"/>
      <c r="BT941" s="75"/>
      <c r="BU941" s="75"/>
      <c r="BV941" s="75"/>
      <c r="BW941" s="75"/>
      <c r="BX941" s="75"/>
      <c r="BY941" s="75"/>
      <c r="BZ941" s="75"/>
      <c r="CA941" s="75"/>
      <c r="CB941" s="75"/>
      <c r="CC941" s="75"/>
      <c r="CD941" s="75"/>
      <c r="CE941" s="75"/>
      <c r="CF941" s="75"/>
      <c r="CG941" s="75"/>
      <c r="CH941" s="75"/>
      <c r="CI941" s="75"/>
      <c r="CJ941" s="75"/>
      <c r="CK941" s="75"/>
      <c r="CL941" s="75"/>
      <c r="CM941" s="75"/>
      <c r="CN941" s="75"/>
      <c r="CO941" s="75"/>
      <c r="CP941" s="75"/>
      <c r="CQ941" s="75"/>
      <c r="CR941" s="75"/>
      <c r="CS941" s="75"/>
    </row>
    <row r="942" spans="1:97" ht="12.75" customHeight="1">
      <c r="A942" s="62" t="s">
        <v>719</v>
      </c>
      <c r="B942" s="35"/>
      <c r="C942" s="62" t="s">
        <v>171</v>
      </c>
      <c r="D942" s="35"/>
      <c r="E942" s="35"/>
      <c r="F942" s="35"/>
      <c r="G942" s="3"/>
      <c r="H942" s="35"/>
      <c r="I942" s="65"/>
      <c r="J942" s="65"/>
      <c r="K942" s="65"/>
      <c r="L942" s="65"/>
      <c r="M942" s="65"/>
      <c r="N942" s="65"/>
      <c r="O942" s="65"/>
      <c r="P942" s="65"/>
      <c r="Q942" s="65"/>
      <c r="R942" s="65"/>
      <c r="S942" s="65"/>
      <c r="T942" s="65"/>
      <c r="U942" s="65"/>
      <c r="V942" s="65"/>
      <c r="W942" s="65"/>
      <c r="X942" s="65"/>
      <c r="Y942" s="65"/>
      <c r="Z942" s="65"/>
      <c r="AA942" s="65"/>
      <c r="AB942" s="65"/>
      <c r="AC942" s="65"/>
      <c r="AD942" s="65"/>
      <c r="AE942" s="65"/>
      <c r="AF942" s="65"/>
      <c r="AG942" s="65"/>
      <c r="AH942" s="65"/>
      <c r="AI942" s="65"/>
      <c r="AJ942" s="65"/>
      <c r="AK942" s="65"/>
      <c r="AL942" s="119"/>
      <c r="AM942" s="75"/>
      <c r="AN942" s="75"/>
      <c r="AO942" s="75"/>
      <c r="AP942" s="75"/>
      <c r="AQ942" s="75"/>
      <c r="AR942" s="75"/>
      <c r="AS942" s="75"/>
      <c r="AT942" s="75"/>
      <c r="AU942" s="75"/>
      <c r="AV942" s="75"/>
      <c r="AW942" s="75"/>
      <c r="AX942" s="75"/>
      <c r="AY942" s="75"/>
      <c r="AZ942" s="75"/>
      <c r="BA942" s="75"/>
      <c r="BB942" s="75"/>
      <c r="BC942" s="75"/>
      <c r="BD942" s="75"/>
      <c r="BE942" s="75"/>
      <c r="BF942" s="75"/>
      <c r="BG942" s="75"/>
      <c r="BH942" s="75"/>
      <c r="BI942" s="75"/>
      <c r="BJ942" s="75"/>
      <c r="BK942" s="75"/>
      <c r="BL942" s="75"/>
      <c r="BM942" s="75"/>
      <c r="BN942" s="75"/>
      <c r="BO942" s="75"/>
      <c r="BP942" s="75"/>
      <c r="BQ942" s="75"/>
      <c r="BR942" s="75"/>
      <c r="BS942" s="75"/>
      <c r="BT942" s="75"/>
      <c r="BU942" s="75"/>
      <c r="BV942" s="75"/>
      <c r="BW942" s="75"/>
      <c r="BX942" s="75"/>
      <c r="BY942" s="75"/>
      <c r="BZ942" s="75"/>
      <c r="CA942" s="75"/>
      <c r="CB942" s="75"/>
      <c r="CC942" s="75"/>
      <c r="CD942" s="75"/>
      <c r="CE942" s="75"/>
      <c r="CF942" s="75"/>
      <c r="CG942" s="75"/>
      <c r="CH942" s="75"/>
      <c r="CI942" s="75"/>
      <c r="CJ942" s="75"/>
      <c r="CK942" s="75"/>
      <c r="CL942" s="75"/>
      <c r="CM942" s="75"/>
      <c r="CN942" s="75"/>
      <c r="CO942" s="75"/>
      <c r="CP942" s="75"/>
      <c r="CQ942" s="75"/>
      <c r="CR942" s="75"/>
      <c r="CS942" s="75"/>
    </row>
    <row r="943" spans="1:97" ht="12.75" customHeight="1">
      <c r="A943" s="65"/>
      <c r="B943" s="35"/>
      <c r="C943" s="62"/>
      <c r="D943" s="35"/>
      <c r="E943" s="35"/>
      <c r="F943" s="35"/>
      <c r="G943" s="3"/>
      <c r="H943" s="35"/>
      <c r="I943" s="65"/>
      <c r="J943" s="65"/>
      <c r="K943" s="65"/>
      <c r="L943" s="65"/>
      <c r="M943" s="65"/>
      <c r="N943" s="65"/>
      <c r="O943" s="65"/>
      <c r="P943" s="65"/>
      <c r="Q943" s="65"/>
      <c r="R943" s="65"/>
      <c r="S943" s="65"/>
      <c r="T943" s="65"/>
      <c r="U943" s="65"/>
      <c r="V943" s="65"/>
      <c r="W943" s="65"/>
      <c r="X943" s="65"/>
      <c r="Y943" s="65"/>
      <c r="Z943" s="65"/>
      <c r="AA943" s="65"/>
      <c r="AB943" s="65"/>
      <c r="AC943" s="65"/>
      <c r="AD943" s="65"/>
      <c r="AE943" s="65"/>
      <c r="AF943" s="65"/>
      <c r="AG943" s="65"/>
      <c r="AH943" s="65"/>
      <c r="AI943" s="65"/>
      <c r="AJ943" s="65"/>
      <c r="AK943" s="15"/>
      <c r="AL943" s="119"/>
      <c r="AM943" s="75"/>
      <c r="AO943" s="75"/>
      <c r="AP943" s="75"/>
      <c r="AQ943" s="75"/>
      <c r="AR943" s="75"/>
      <c r="AS943" s="75"/>
      <c r="AT943" s="75"/>
      <c r="AU943" s="75"/>
      <c r="AV943" s="75"/>
      <c r="AW943" s="75"/>
      <c r="AX943" s="75"/>
      <c r="AY943" s="75"/>
      <c r="AZ943" s="75"/>
      <c r="BA943" s="561">
        <f>IF(A1016="Yes",0.05,0)</f>
        <v>0</v>
      </c>
      <c r="BB943" s="75"/>
      <c r="BC943" s="75"/>
      <c r="BD943" s="75"/>
      <c r="BE943" s="75"/>
      <c r="BF943" s="75"/>
      <c r="BG943" s="75"/>
      <c r="BH943" s="75"/>
      <c r="BI943" s="75"/>
      <c r="BJ943" s="75"/>
      <c r="BK943" s="75"/>
      <c r="BL943" s="75"/>
      <c r="BM943" s="75"/>
      <c r="BN943" s="75"/>
      <c r="BO943" s="75"/>
      <c r="BP943" s="75"/>
      <c r="BQ943" s="75"/>
      <c r="BR943" s="75"/>
      <c r="BS943" s="75"/>
      <c r="BT943" s="75"/>
      <c r="BU943" s="75"/>
      <c r="BV943" s="75"/>
      <c r="BW943" s="75"/>
      <c r="BX943" s="75"/>
      <c r="BY943" s="75"/>
      <c r="BZ943" s="75"/>
      <c r="CA943" s="75"/>
      <c r="CB943" s="75"/>
      <c r="CC943" s="75"/>
      <c r="CD943" s="75"/>
      <c r="CE943" s="75"/>
      <c r="CF943" s="75"/>
      <c r="CG943" s="75"/>
      <c r="CH943" s="75"/>
      <c r="CI943" s="75"/>
      <c r="CJ943" s="75"/>
      <c r="CK943" s="75"/>
      <c r="CL943" s="75"/>
      <c r="CM943" s="75"/>
      <c r="CN943" s="75"/>
      <c r="CO943" s="75"/>
      <c r="CP943" s="75"/>
      <c r="CQ943" s="75"/>
      <c r="CR943" s="75"/>
      <c r="CS943" s="75"/>
    </row>
    <row r="944" spans="1:97" ht="12.75" customHeight="1">
      <c r="A944" s="65"/>
      <c r="B944" s="128"/>
      <c r="C944" s="1465"/>
      <c r="D944" s="1759" t="s">
        <v>473</v>
      </c>
      <c r="E944" s="1760"/>
      <c r="F944" s="1760"/>
      <c r="G944" s="1760"/>
      <c r="H944" s="1760"/>
      <c r="I944" s="1760"/>
      <c r="J944" s="1760"/>
      <c r="K944" s="1760"/>
      <c r="L944" s="1760"/>
      <c r="M944" s="1760"/>
      <c r="N944" s="1760"/>
      <c r="O944" s="1760"/>
      <c r="P944" s="1760"/>
      <c r="Q944" s="1761"/>
      <c r="R944" s="1759" t="s">
        <v>474</v>
      </c>
      <c r="S944" s="1760"/>
      <c r="T944" s="1760"/>
      <c r="U944" s="1760"/>
      <c r="V944" s="1760"/>
      <c r="W944" s="1760"/>
      <c r="X944" s="1760"/>
      <c r="Y944" s="1760"/>
      <c r="Z944" s="1760"/>
      <c r="AA944" s="1761"/>
      <c r="AB944" s="1759" t="s">
        <v>475</v>
      </c>
      <c r="AC944" s="1760"/>
      <c r="AD944" s="1760"/>
      <c r="AE944" s="1760"/>
      <c r="AF944" s="1760"/>
      <c r="AG944" s="1760"/>
      <c r="AH944" s="1760"/>
      <c r="AI944" s="1761"/>
      <c r="AJ944" s="1759" t="s">
        <v>476</v>
      </c>
      <c r="AK944" s="1760"/>
      <c r="AL944" s="1760"/>
      <c r="AM944" s="1760"/>
      <c r="AN944" s="1760"/>
      <c r="AO944" s="1760"/>
      <c r="AP944" s="1760"/>
      <c r="AQ944" s="1761"/>
      <c r="AR944" s="75"/>
      <c r="AS944" s="75"/>
      <c r="AT944" s="75"/>
      <c r="AU944" s="75"/>
      <c r="AV944" s="75"/>
      <c r="AW944" s="75"/>
      <c r="AX944" s="75"/>
      <c r="AY944" s="75"/>
      <c r="AZ944" s="75"/>
      <c r="BA944" s="561">
        <f>IF(A1022="Yes",0.02,0)</f>
        <v>0</v>
      </c>
      <c r="BB944" s="75"/>
      <c r="BC944" s="75"/>
      <c r="BD944" s="75"/>
      <c r="BE944" s="75"/>
      <c r="BF944" s="75"/>
      <c r="BG944" s="75"/>
      <c r="BH944" s="75"/>
      <c r="BI944" s="75"/>
      <c r="BJ944" s="75"/>
      <c r="BK944" s="75"/>
      <c r="BL944" s="75"/>
      <c r="BM944" s="75"/>
      <c r="BN944" s="75"/>
      <c r="BO944" s="75"/>
      <c r="BP944" s="75"/>
      <c r="BQ944" s="75"/>
      <c r="BR944" s="75"/>
      <c r="BS944" s="75"/>
      <c r="BT944" s="75"/>
      <c r="BU944" s="75"/>
      <c r="BV944" s="75"/>
      <c r="BW944" s="75"/>
      <c r="BX944" s="75"/>
      <c r="BY944" s="75"/>
      <c r="BZ944" s="75"/>
      <c r="CA944" s="75"/>
      <c r="CB944" s="75"/>
      <c r="CC944" s="75"/>
      <c r="CD944" s="75"/>
      <c r="CE944" s="75"/>
      <c r="CF944" s="75"/>
      <c r="CG944" s="75"/>
      <c r="CH944" s="75"/>
      <c r="CI944" s="75"/>
      <c r="CJ944" s="75"/>
      <c r="CK944" s="75"/>
      <c r="CL944" s="75"/>
      <c r="CM944" s="75"/>
      <c r="CN944" s="75"/>
      <c r="CO944" s="75"/>
      <c r="CP944" s="75"/>
      <c r="CQ944" s="75"/>
      <c r="CR944" s="75"/>
      <c r="CS944" s="75"/>
    </row>
    <row r="945" spans="1:97" ht="12.75" customHeight="1">
      <c r="A945" s="65"/>
      <c r="B945" s="124"/>
      <c r="C945" s="1466"/>
      <c r="D945" s="1708" t="s">
        <v>468</v>
      </c>
      <c r="E945" s="1709"/>
      <c r="F945" s="1709"/>
      <c r="G945" s="1709"/>
      <c r="H945" s="1709"/>
      <c r="I945" s="1709"/>
      <c r="J945" s="1709"/>
      <c r="K945" s="1709"/>
      <c r="L945" s="1709"/>
      <c r="M945" s="1709"/>
      <c r="N945" s="1709"/>
      <c r="O945" s="1709"/>
      <c r="P945" s="1709"/>
      <c r="Q945" s="1710"/>
      <c r="R945" s="1711">
        <f>IF(ISNA(IF($BA$817="4%",(INDEX($BC$831:$BG$888,MATCH($BO$817,$BB$831:$BB$888,0),MATCH(D945,$BC$829:$BG$829,0))),(INDEX($BJ$831:$BN$888,MATCH($BO$817,$BI$831:$BI$888,0),MATCH(D945,$BJ$829:$BN$829,0))))),0,IF($BA$817="4%",(INDEX($BC$831:$BG$888,MATCH($BO$817,$BB$831:$BB$888,0),MATCH(D945,$BC$829:$BG$829,0))),(INDEX($BJ$831:$BN$888,MATCH($BO$817,$BI$831:$BI$888,0),MATCH(D945,$BJ$829:$BN$829,0)))))</f>
        <v>238133</v>
      </c>
      <c r="S945" s="1711"/>
      <c r="T945" s="1711"/>
      <c r="U945" s="1711"/>
      <c r="V945" s="1711"/>
      <c r="W945" s="1711"/>
      <c r="X945" s="1711"/>
      <c r="Y945" s="1711"/>
      <c r="Z945" s="1711"/>
      <c r="AA945" s="1711"/>
      <c r="AB945" s="1712">
        <f>BN650</f>
        <v>15</v>
      </c>
      <c r="AC945" s="1713"/>
      <c r="AD945" s="1713"/>
      <c r="AE945" s="1713"/>
      <c r="AF945" s="1713"/>
      <c r="AG945" s="1713"/>
      <c r="AH945" s="1713"/>
      <c r="AI945" s="1714"/>
      <c r="AJ945" s="1676">
        <f>IF(ISERROR((R945*AB945)),0,(R945*AB945))</f>
        <v>3571995</v>
      </c>
      <c r="AK945" s="1677"/>
      <c r="AL945" s="1677"/>
      <c r="AM945" s="1677"/>
      <c r="AN945" s="1677"/>
      <c r="AO945" s="1677"/>
      <c r="AP945" s="1677"/>
      <c r="AQ945" s="1678"/>
      <c r="AR945" s="75"/>
      <c r="AS945" s="75"/>
      <c r="AT945" s="75"/>
      <c r="AU945" s="75"/>
      <c r="AV945" s="75"/>
      <c r="AW945" s="75"/>
      <c r="AX945" s="75"/>
      <c r="AY945" s="75"/>
      <c r="AZ945" s="75"/>
      <c r="BA945" s="561">
        <f>IF(A1028="Yes",0.04,0)</f>
        <v>0.04</v>
      </c>
      <c r="BB945" s="75"/>
      <c r="BC945" s="75"/>
      <c r="BD945" s="75"/>
      <c r="BE945" s="75"/>
      <c r="BF945" s="75"/>
      <c r="BG945" s="75"/>
      <c r="BH945" s="75"/>
      <c r="BI945" s="75"/>
      <c r="BJ945" s="75"/>
      <c r="BK945" s="75"/>
      <c r="BL945" s="75"/>
      <c r="BM945" s="75"/>
      <c r="BN945" s="75"/>
      <c r="BO945" s="75"/>
      <c r="BP945" s="75"/>
      <c r="BQ945" s="75"/>
      <c r="BR945" s="75"/>
      <c r="BS945" s="75"/>
      <c r="BT945" s="75"/>
      <c r="BU945" s="75"/>
      <c r="BV945" s="75"/>
      <c r="BW945" s="75"/>
      <c r="BX945" s="75"/>
      <c r="BY945" s="75"/>
      <c r="BZ945" s="75"/>
      <c r="CA945" s="75"/>
      <c r="CB945" s="75"/>
      <c r="CC945" s="75"/>
      <c r="CD945" s="75"/>
      <c r="CE945" s="75"/>
      <c r="CF945" s="75"/>
      <c r="CG945" s="75"/>
      <c r="CH945" s="75"/>
      <c r="CI945" s="75"/>
      <c r="CJ945" s="75"/>
      <c r="CK945" s="75"/>
      <c r="CL945" s="75"/>
      <c r="CM945" s="75"/>
      <c r="CN945" s="75"/>
      <c r="CO945" s="75"/>
      <c r="CP945" s="75"/>
      <c r="CQ945" s="75"/>
      <c r="CR945" s="75"/>
      <c r="CS945" s="75"/>
    </row>
    <row r="946" spans="1:97" ht="12.75" customHeight="1">
      <c r="A946" s="65"/>
      <c r="B946" s="124"/>
      <c r="C946" s="1467"/>
      <c r="D946" s="1708" t="s">
        <v>491</v>
      </c>
      <c r="E946" s="1709"/>
      <c r="F946" s="1709"/>
      <c r="G946" s="1709"/>
      <c r="H946" s="1709"/>
      <c r="I946" s="1709"/>
      <c r="J946" s="1709"/>
      <c r="K946" s="1709"/>
      <c r="L946" s="1709"/>
      <c r="M946" s="1709"/>
      <c r="N946" s="1709"/>
      <c r="O946" s="1709"/>
      <c r="P946" s="1709"/>
      <c r="Q946" s="1710"/>
      <c r="R946" s="1711">
        <f>IF(ISNA(IF($BA$817="4%",(INDEX($BC$831:$BG$888,MATCH($BO$817,$BB$831:$BB$888,0),MATCH(D946,$BC$829:$BG$829,0))),(INDEX($BJ$831:$BN$888,MATCH($BO$817,$BI$831:$BI$888,0),MATCH(D946,$BJ$829:$BN$829,0))))),0,IF($BA$817="4%",(INDEX($BC$831:$BG$888,MATCH($BO$817,$BB$831:$BB$888,0),MATCH(D946,$BC$829:$BG$829,0))),(INDEX($BJ$831:$BN$888,MATCH($BO$817,$BI$831:$BI$888,0),MATCH(D946,$BJ$829:$BN$829,0)))))</f>
        <v>274565</v>
      </c>
      <c r="S946" s="1711"/>
      <c r="T946" s="1711"/>
      <c r="U946" s="1711"/>
      <c r="V946" s="1711"/>
      <c r="W946" s="1711"/>
      <c r="X946" s="1711"/>
      <c r="Y946" s="1711"/>
      <c r="Z946" s="1711"/>
      <c r="AA946" s="1711"/>
      <c r="AB946" s="1712">
        <f>BS650</f>
        <v>12</v>
      </c>
      <c r="AC946" s="1713"/>
      <c r="AD946" s="1713"/>
      <c r="AE946" s="1713"/>
      <c r="AF946" s="1713"/>
      <c r="AG946" s="1713"/>
      <c r="AH946" s="1713"/>
      <c r="AI946" s="1714"/>
      <c r="AJ946" s="1676">
        <f>IF(ISERROR((R946*AB946)),0,(R946*AB946))</f>
        <v>3294780</v>
      </c>
      <c r="AK946" s="1677"/>
      <c r="AL946" s="1677"/>
      <c r="AM946" s="1677"/>
      <c r="AN946" s="1677"/>
      <c r="AO946" s="1677"/>
      <c r="AP946" s="1677"/>
      <c r="AQ946" s="1678"/>
      <c r="AR946" s="75"/>
      <c r="AS946" s="75"/>
      <c r="AT946" s="75"/>
      <c r="AU946" s="75"/>
      <c r="AV946" s="75"/>
      <c r="AW946" s="75"/>
      <c r="AX946" s="75"/>
      <c r="AY946" s="75"/>
      <c r="AZ946" s="75"/>
      <c r="BA946" s="561">
        <f>IF(A1034="Yes",0.04,0)</f>
        <v>0</v>
      </c>
      <c r="BB946" s="75"/>
      <c r="BC946" s="75"/>
      <c r="BD946" s="75"/>
      <c r="BE946" s="75"/>
      <c r="BF946" s="75"/>
      <c r="BG946" s="75"/>
      <c r="BH946" s="75"/>
      <c r="BI946" s="75"/>
      <c r="BJ946" s="75"/>
      <c r="BK946" s="75"/>
      <c r="BL946" s="75"/>
      <c r="BM946" s="75"/>
      <c r="BN946" s="75"/>
      <c r="BO946" s="75"/>
      <c r="BP946" s="75"/>
      <c r="BQ946" s="75"/>
      <c r="BR946" s="75"/>
      <c r="BS946" s="75"/>
      <c r="BT946" s="75"/>
      <c r="BU946" s="75"/>
      <c r="BV946" s="75"/>
      <c r="BW946" s="75"/>
      <c r="BX946" s="75"/>
      <c r="BY946" s="75"/>
      <c r="BZ946" s="75"/>
      <c r="CA946" s="75"/>
      <c r="CB946" s="75"/>
      <c r="CC946" s="75"/>
      <c r="CD946" s="75"/>
      <c r="CE946" s="75"/>
      <c r="CF946" s="75"/>
      <c r="CG946" s="75"/>
      <c r="CH946" s="75"/>
      <c r="CI946" s="75"/>
      <c r="CJ946" s="75"/>
      <c r="CK946" s="75"/>
      <c r="CL946" s="75"/>
      <c r="CM946" s="75"/>
      <c r="CN946" s="75"/>
      <c r="CO946" s="75"/>
      <c r="CP946" s="75"/>
      <c r="CQ946" s="75"/>
      <c r="CR946" s="75"/>
      <c r="CS946" s="75"/>
    </row>
    <row r="947" spans="1:97" ht="12.75" customHeight="1">
      <c r="A947" s="65"/>
      <c r="B947" s="124"/>
      <c r="C947" s="1467"/>
      <c r="D947" s="1708" t="s">
        <v>853</v>
      </c>
      <c r="E947" s="1709"/>
      <c r="F947" s="1709"/>
      <c r="G947" s="1709"/>
      <c r="H947" s="1709"/>
      <c r="I947" s="1709"/>
      <c r="J947" s="1709"/>
      <c r="K947" s="1709"/>
      <c r="L947" s="1709"/>
      <c r="M947" s="1709"/>
      <c r="N947" s="1709"/>
      <c r="O947" s="1709"/>
      <c r="P947" s="1709"/>
      <c r="Q947" s="1710"/>
      <c r="R947" s="1711">
        <f>IF(ISNA(IF($BA$817="4%",(INDEX($BC$831:$BG$888,MATCH($BO$817,$BB$831:$BB$888,0),MATCH(D947,$BC$829:$BG$829,0))),(INDEX($BJ$831:$BN$888,MATCH($BO$817,$BI$831:$BI$888,0),MATCH(D947,$BJ$829:$BN$829,0))))),0,IF($BA$817="4%",(INDEX($BC$831:$BG$888,MATCH($BO$817,$BB$831:$BB$888,0),MATCH(D947,$BC$829:$BG$829,0))),(INDEX($BJ$831:$BN$888,MATCH($BO$817,$BI$831:$BI$888,0),MATCH(D947,$BJ$829:$BN$829,0)))))</f>
        <v>331200</v>
      </c>
      <c r="S947" s="1711"/>
      <c r="T947" s="1711"/>
      <c r="U947" s="1711"/>
      <c r="V947" s="1711"/>
      <c r="W947" s="1711"/>
      <c r="X947" s="1711"/>
      <c r="Y947" s="1711"/>
      <c r="Z947" s="1711"/>
      <c r="AA947" s="1711"/>
      <c r="AB947" s="1712">
        <f>BX650</f>
        <v>8</v>
      </c>
      <c r="AC947" s="1713"/>
      <c r="AD947" s="1713"/>
      <c r="AE947" s="1713"/>
      <c r="AF947" s="1713"/>
      <c r="AG947" s="1713"/>
      <c r="AH947" s="1713"/>
      <c r="AI947" s="1714"/>
      <c r="AJ947" s="1676">
        <f>IF(ISERROR((R947*AB947)),0,(R947*AB947))</f>
        <v>2649600</v>
      </c>
      <c r="AK947" s="1677"/>
      <c r="AL947" s="1677"/>
      <c r="AM947" s="1677"/>
      <c r="AN947" s="1677"/>
      <c r="AO947" s="1677"/>
      <c r="AP947" s="1677"/>
      <c r="AQ947" s="1678"/>
      <c r="AR947" s="75"/>
      <c r="AS947" s="75"/>
      <c r="AT947" s="75"/>
      <c r="AU947" s="75"/>
      <c r="AV947" s="75"/>
      <c r="AW947" s="75"/>
      <c r="AX947" s="75"/>
      <c r="AY947" s="75"/>
      <c r="AZ947" s="75"/>
      <c r="BA947" s="561">
        <f>IF(A1037="Yes",0.01,0)</f>
        <v>0</v>
      </c>
      <c r="BB947" s="75"/>
      <c r="BC947" s="75"/>
      <c r="BD947" s="75"/>
      <c r="BE947" s="75"/>
      <c r="BF947" s="75"/>
      <c r="BG947" s="75"/>
      <c r="BH947" s="75"/>
      <c r="BI947" s="75"/>
      <c r="BJ947" s="75"/>
      <c r="BK947" s="75"/>
      <c r="BL947" s="75"/>
      <c r="BM947" s="75"/>
      <c r="BN947" s="75"/>
      <c r="BO947" s="75"/>
      <c r="BP947" s="75"/>
      <c r="BQ947" s="75"/>
      <c r="BR947" s="75"/>
      <c r="BS947" s="75"/>
      <c r="BT947" s="75"/>
      <c r="BU947" s="75"/>
      <c r="BV947" s="75"/>
      <c r="BW947" s="75"/>
      <c r="BX947" s="75"/>
      <c r="BY947" s="75"/>
      <c r="BZ947" s="75"/>
      <c r="CA947" s="75"/>
      <c r="CB947" s="75"/>
      <c r="CC947" s="75"/>
      <c r="CD947" s="75"/>
      <c r="CE947" s="75"/>
      <c r="CF947" s="75"/>
      <c r="CG947" s="75"/>
      <c r="CH947" s="75"/>
      <c r="CI947" s="75"/>
      <c r="CJ947" s="75"/>
      <c r="CK947" s="75"/>
      <c r="CL947" s="75"/>
      <c r="CM947" s="75"/>
      <c r="CN947" s="75"/>
      <c r="CO947" s="75"/>
      <c r="CP947" s="75"/>
      <c r="CQ947" s="75"/>
      <c r="CR947" s="75"/>
      <c r="CS947" s="75"/>
    </row>
    <row r="948" spans="1:97" ht="12.75" customHeight="1">
      <c r="A948" s="65"/>
      <c r="B948" s="124"/>
      <c r="C948" s="1467"/>
      <c r="D948" s="1708" t="s">
        <v>854</v>
      </c>
      <c r="E948" s="1709"/>
      <c r="F948" s="1709"/>
      <c r="G948" s="1709"/>
      <c r="H948" s="1709"/>
      <c r="I948" s="1709"/>
      <c r="J948" s="1709"/>
      <c r="K948" s="1709"/>
      <c r="L948" s="1709"/>
      <c r="M948" s="1709"/>
      <c r="N948" s="1709"/>
      <c r="O948" s="1709"/>
      <c r="P948" s="1709"/>
      <c r="Q948" s="1710"/>
      <c r="R948" s="1711">
        <f>IF(ISNA(IF($BA$817="4%",(INDEX($BC$831:$BG$888,MATCH($BO$817,$BB$831:$BB$888,0),MATCH(D948,$BC$829:$BG$829,0))),(INDEX($BJ$831:$BN$888,MATCH($BO$817,$BI$831:$BI$888,0),MATCH(D948,$BJ$829:$BN$829,0))))),0,IF($BA$817="4%",(INDEX($BC$831:$BG$888,MATCH($BO$817,$BB$831:$BB$888,0),MATCH(D948,$BC$829:$BG$829,0))),(INDEX($BJ$831:$BN$888,MATCH($BO$817,$BI$831:$BI$888,0),MATCH(D948,$BJ$829:$BN$829,0)))))</f>
        <v>423936</v>
      </c>
      <c r="S948" s="1711"/>
      <c r="T948" s="1711"/>
      <c r="U948" s="1711"/>
      <c r="V948" s="1711"/>
      <c r="W948" s="1711"/>
      <c r="X948" s="1711"/>
      <c r="Y948" s="1711"/>
      <c r="Z948" s="1711"/>
      <c r="AA948" s="1711"/>
      <c r="AB948" s="1712">
        <f>CC650</f>
        <v>6</v>
      </c>
      <c r="AC948" s="1713"/>
      <c r="AD948" s="1713"/>
      <c r="AE948" s="1713"/>
      <c r="AF948" s="1713"/>
      <c r="AG948" s="1713"/>
      <c r="AH948" s="1713"/>
      <c r="AI948" s="1714"/>
      <c r="AJ948" s="1676">
        <f>IF(ISERROR((R948*AB948)),0,(R948*AB948))</f>
        <v>2543616</v>
      </c>
      <c r="AK948" s="1677"/>
      <c r="AL948" s="1677"/>
      <c r="AM948" s="1677"/>
      <c r="AN948" s="1677"/>
      <c r="AO948" s="1677"/>
      <c r="AP948" s="1677"/>
      <c r="AQ948" s="1678"/>
      <c r="AR948" s="75"/>
      <c r="AS948" s="75"/>
      <c r="AT948" s="75"/>
      <c r="AU948" s="75"/>
      <c r="AV948" s="75"/>
      <c r="AW948" s="75"/>
      <c r="AX948" s="75"/>
      <c r="AY948" s="75"/>
      <c r="AZ948" s="75"/>
      <c r="BA948" s="561">
        <f>IF(A1042="Yes",0.01,0)</f>
        <v>0</v>
      </c>
      <c r="BB948" s="75"/>
      <c r="BC948" s="75"/>
      <c r="BD948" s="75"/>
      <c r="BE948" s="75"/>
      <c r="BF948" s="75"/>
      <c r="BG948" s="75"/>
      <c r="BH948" s="75"/>
      <c r="BI948" s="75"/>
      <c r="BJ948" s="75"/>
      <c r="BK948" s="75"/>
      <c r="BL948" s="75"/>
      <c r="BM948" s="75"/>
      <c r="BN948" s="75"/>
      <c r="BO948" s="75"/>
      <c r="BP948" s="75"/>
      <c r="BQ948" s="75"/>
      <c r="BR948" s="75"/>
      <c r="BS948" s="75"/>
      <c r="BT948" s="75"/>
      <c r="BU948" s="75"/>
      <c r="BV948" s="75"/>
      <c r="BW948" s="75"/>
      <c r="BX948" s="75"/>
      <c r="BY948" s="75"/>
      <c r="BZ948" s="75"/>
      <c r="CA948" s="75"/>
      <c r="CB948" s="75"/>
      <c r="CC948" s="75"/>
      <c r="CD948" s="75"/>
      <c r="CE948" s="75"/>
      <c r="CF948" s="75"/>
      <c r="CG948" s="75"/>
      <c r="CH948" s="75"/>
      <c r="CI948" s="75"/>
      <c r="CJ948" s="75"/>
      <c r="CK948" s="75"/>
      <c r="CL948" s="75"/>
      <c r="CM948" s="75"/>
      <c r="CN948" s="75"/>
      <c r="CO948" s="75"/>
      <c r="CP948" s="75"/>
      <c r="CQ948" s="75"/>
      <c r="CR948" s="75"/>
      <c r="CS948" s="75"/>
    </row>
    <row r="949" spans="1:97" ht="12.75" customHeight="1">
      <c r="A949" s="65"/>
      <c r="B949" s="93"/>
      <c r="C949" s="1468"/>
      <c r="D949" s="1708" t="s">
        <v>867</v>
      </c>
      <c r="E949" s="1709"/>
      <c r="F949" s="1709"/>
      <c r="G949" s="1709"/>
      <c r="H949" s="1709"/>
      <c r="I949" s="1709"/>
      <c r="J949" s="1709"/>
      <c r="K949" s="1709"/>
      <c r="L949" s="1709"/>
      <c r="M949" s="1709"/>
      <c r="N949" s="1709"/>
      <c r="O949" s="1709"/>
      <c r="P949" s="1709"/>
      <c r="Q949" s="1710"/>
      <c r="R949" s="1711">
        <f>IF(ISNA(IF($BA$817="4%",(INDEX($BC$831:$BG$888,MATCH($BO$817,$BB$831:$BB$888,0),MATCH(D949,$BC$829:$BG$829,0))),(INDEX($BJ$831:$BN$888,MATCH($BO$817,$BI$831:$BI$888,0),MATCH(D949,$BJ$829:$BN$829,0))))),0,IF($BA$817="4%",(INDEX($BC$831:$BG$888,MATCH($BO$817,$BB$831:$BB$888,0),MATCH(D949,$BC$829:$BG$829,0))),(INDEX($BJ$831:$BN$888,MATCH($BO$817,$BI$831:$BI$888,0),MATCH(D949,$BJ$829:$BN$829,0)))))</f>
        <v>472291</v>
      </c>
      <c r="S949" s="1711"/>
      <c r="T949" s="1711"/>
      <c r="U949" s="1711"/>
      <c r="V949" s="1711"/>
      <c r="W949" s="1711"/>
      <c r="X949" s="1711"/>
      <c r="Y949" s="1711"/>
      <c r="Z949" s="1711"/>
      <c r="AA949" s="1711"/>
      <c r="AB949" s="1712">
        <f>CM650+CH650</f>
        <v>0</v>
      </c>
      <c r="AC949" s="1713"/>
      <c r="AD949" s="1713"/>
      <c r="AE949" s="1713"/>
      <c r="AF949" s="1713"/>
      <c r="AG949" s="1713"/>
      <c r="AH949" s="1713"/>
      <c r="AI949" s="1714"/>
      <c r="AJ949" s="1676">
        <f>IF(ISERROR((R949*AB949)),0,(R949*AB949))</f>
        <v>0</v>
      </c>
      <c r="AK949" s="1677"/>
      <c r="AL949" s="1677"/>
      <c r="AM949" s="1677"/>
      <c r="AN949" s="1677"/>
      <c r="AO949" s="1677"/>
      <c r="AP949" s="1677"/>
      <c r="AQ949" s="1678"/>
      <c r="AR949" s="75"/>
      <c r="AS949" s="75"/>
      <c r="AT949" s="75"/>
      <c r="AU949" s="75"/>
      <c r="AV949" s="75"/>
      <c r="AW949" s="75"/>
      <c r="AX949" s="75"/>
      <c r="AY949" s="75"/>
      <c r="AZ949" s="75"/>
      <c r="BA949" s="561">
        <f>IF(A1045="Yes",0.01,0)</f>
        <v>0</v>
      </c>
      <c r="BB949" s="75"/>
      <c r="BC949" s="75"/>
      <c r="BD949" s="75"/>
      <c r="BE949" s="75"/>
      <c r="BF949" s="75"/>
      <c r="BG949" s="75"/>
      <c r="BH949" s="75"/>
      <c r="BI949" s="75"/>
      <c r="BJ949" s="75"/>
      <c r="BK949" s="75"/>
      <c r="BL949" s="75"/>
      <c r="BM949" s="75"/>
      <c r="BN949" s="75"/>
      <c r="BO949" s="75"/>
      <c r="BP949" s="75"/>
      <c r="BQ949" s="75"/>
      <c r="BR949" s="75"/>
      <c r="BS949" s="75"/>
      <c r="BT949" s="75"/>
      <c r="BU949" s="75"/>
      <c r="BV949" s="75"/>
      <c r="BW949" s="75"/>
      <c r="BX949" s="75"/>
      <c r="BY949" s="75"/>
      <c r="BZ949" s="75"/>
      <c r="CA949" s="75"/>
      <c r="CB949" s="75"/>
      <c r="CC949" s="75"/>
      <c r="CD949" s="75"/>
      <c r="CE949" s="75"/>
      <c r="CF949" s="75"/>
      <c r="CG949" s="75"/>
      <c r="CH949" s="75"/>
      <c r="CI949" s="75"/>
      <c r="CJ949" s="75"/>
      <c r="CK949" s="75"/>
      <c r="CL949" s="75"/>
      <c r="CM949" s="75"/>
      <c r="CN949" s="75"/>
      <c r="CO949" s="75"/>
      <c r="CP949" s="75"/>
      <c r="CQ949" s="75"/>
      <c r="CR949" s="75"/>
      <c r="CS949" s="75"/>
    </row>
    <row r="950" spans="1:97" ht="12.75" customHeight="1">
      <c r="A950" s="65"/>
      <c r="B950" s="1737" t="s">
        <v>1064</v>
      </c>
      <c r="C950" s="1738"/>
      <c r="D950" s="1738"/>
      <c r="E950" s="1738"/>
      <c r="F950" s="1738"/>
      <c r="G950" s="1738"/>
      <c r="H950" s="1738"/>
      <c r="I950" s="1738"/>
      <c r="J950" s="1738"/>
      <c r="K950" s="1738"/>
      <c r="L950" s="1738"/>
      <c r="M950" s="1738"/>
      <c r="N950" s="1738"/>
      <c r="O950" s="1738"/>
      <c r="P950" s="1738"/>
      <c r="Q950" s="1738"/>
      <c r="R950" s="1738"/>
      <c r="S950" s="1738"/>
      <c r="T950" s="1738"/>
      <c r="U950" s="1738"/>
      <c r="V950" s="1738"/>
      <c r="W950" s="1738"/>
      <c r="X950" s="1738"/>
      <c r="Y950" s="1738"/>
      <c r="Z950" s="1738"/>
      <c r="AA950" s="1739"/>
      <c r="AB950" s="1712">
        <f>SUM(AB945:AI949)</f>
        <v>41</v>
      </c>
      <c r="AC950" s="1713"/>
      <c r="AD950" s="1713"/>
      <c r="AE950" s="1713"/>
      <c r="AF950" s="1713"/>
      <c r="AG950" s="1713"/>
      <c r="AH950" s="1713"/>
      <c r="AI950" s="1714"/>
      <c r="AJ950" s="1676"/>
      <c r="AK950" s="1677"/>
      <c r="AL950" s="1677"/>
      <c r="AM950" s="1677"/>
      <c r="AN950" s="1677"/>
      <c r="AO950" s="1677"/>
      <c r="AP950" s="1677"/>
      <c r="AQ950" s="1678"/>
      <c r="AR950" s="75"/>
      <c r="AS950" s="75"/>
      <c r="AT950" s="75"/>
      <c r="AU950" s="75"/>
      <c r="AV950" s="75"/>
      <c r="AW950" s="75"/>
      <c r="AX950" s="75"/>
      <c r="AY950" s="75"/>
      <c r="AZ950" s="75"/>
      <c r="BA950" s="561">
        <f>IF(A1049="Yes",0.02,0)</f>
        <v>0</v>
      </c>
      <c r="BB950" s="75"/>
      <c r="BC950" s="75"/>
      <c r="BD950" s="75"/>
      <c r="BE950" s="75"/>
      <c r="BF950" s="75"/>
      <c r="BG950" s="75"/>
      <c r="BH950" s="75"/>
      <c r="BI950" s="75"/>
      <c r="BJ950" s="75"/>
      <c r="BK950" s="75"/>
      <c r="BL950" s="75"/>
      <c r="BM950" s="75"/>
      <c r="BN950" s="75"/>
      <c r="BO950" s="75"/>
      <c r="BP950" s="75"/>
      <c r="BQ950" s="75"/>
      <c r="BR950" s="75"/>
      <c r="BS950" s="75"/>
      <c r="BT950" s="75"/>
      <c r="BU950" s="75"/>
      <c r="BV950" s="75"/>
      <c r="BW950" s="75"/>
      <c r="BX950" s="75"/>
      <c r="BY950" s="75"/>
      <c r="BZ950" s="75"/>
      <c r="CA950" s="75"/>
      <c r="CB950" s="75"/>
      <c r="CC950" s="75"/>
      <c r="CD950" s="75"/>
      <c r="CE950" s="75"/>
      <c r="CF950" s="75"/>
      <c r="CG950" s="75"/>
      <c r="CH950" s="75"/>
      <c r="CI950" s="75"/>
      <c r="CJ950" s="75"/>
      <c r="CK950" s="75"/>
      <c r="CL950" s="75"/>
      <c r="CM950" s="75"/>
      <c r="CN950" s="75"/>
      <c r="CO950" s="75"/>
      <c r="CP950" s="75"/>
      <c r="CQ950" s="75"/>
      <c r="CR950" s="75"/>
      <c r="CS950" s="75"/>
    </row>
    <row r="951" spans="1:97" ht="12.75" customHeight="1">
      <c r="A951" s="65"/>
      <c r="B951" s="1740" t="s">
        <v>819</v>
      </c>
      <c r="C951" s="1741"/>
      <c r="D951" s="1741"/>
      <c r="E951" s="1741"/>
      <c r="F951" s="1741"/>
      <c r="G951" s="1741"/>
      <c r="H951" s="1741"/>
      <c r="I951" s="1741"/>
      <c r="J951" s="1741"/>
      <c r="K951" s="1741"/>
      <c r="L951" s="1741"/>
      <c r="M951" s="1741"/>
      <c r="N951" s="1741"/>
      <c r="O951" s="1741"/>
      <c r="P951" s="1741"/>
      <c r="Q951" s="1741"/>
      <c r="R951" s="1741"/>
      <c r="S951" s="1741"/>
      <c r="T951" s="1741"/>
      <c r="U951" s="1741"/>
      <c r="V951" s="1741"/>
      <c r="W951" s="1741"/>
      <c r="X951" s="1741"/>
      <c r="Y951" s="1741"/>
      <c r="Z951" s="1741"/>
      <c r="AA951" s="1741"/>
      <c r="AB951" s="1741"/>
      <c r="AC951" s="1741"/>
      <c r="AD951" s="1741"/>
      <c r="AE951" s="1741"/>
      <c r="AF951" s="1741"/>
      <c r="AG951" s="1741"/>
      <c r="AH951" s="1741"/>
      <c r="AI951" s="1742"/>
      <c r="AJ951" s="1676">
        <f>SUM(AJ945:AQ949)</f>
        <v>12059991</v>
      </c>
      <c r="AK951" s="1677"/>
      <c r="AL951" s="1677"/>
      <c r="AM951" s="1677"/>
      <c r="AN951" s="1677"/>
      <c r="AO951" s="1677"/>
      <c r="AP951" s="1677"/>
      <c r="AQ951" s="1678"/>
      <c r="AR951" s="75"/>
      <c r="AS951" s="75"/>
      <c r="AT951" s="75"/>
      <c r="AU951" s="75"/>
      <c r="AV951" s="75"/>
      <c r="AW951" s="75"/>
      <c r="AX951" s="75"/>
      <c r="AY951" s="75"/>
      <c r="AZ951" s="75"/>
      <c r="BA951" s="562">
        <f>IF(A1053="Yes",0.02,0)</f>
        <v>0</v>
      </c>
      <c r="BB951" s="75"/>
      <c r="BC951" s="75"/>
      <c r="BD951" s="75"/>
      <c r="BE951" s="75"/>
      <c r="BF951" s="75"/>
      <c r="BG951" s="75"/>
      <c r="BH951" s="75"/>
      <c r="BI951" s="75"/>
      <c r="BJ951" s="75"/>
      <c r="BK951" s="75"/>
      <c r="BL951" s="75"/>
      <c r="BM951" s="75"/>
      <c r="BN951" s="75"/>
      <c r="BO951" s="75"/>
      <c r="BP951" s="75"/>
      <c r="BQ951" s="75"/>
      <c r="BR951" s="75"/>
      <c r="BS951" s="75"/>
      <c r="BT951" s="75"/>
      <c r="BU951" s="75"/>
      <c r="BV951" s="75"/>
      <c r="BW951" s="75"/>
      <c r="BX951" s="75"/>
      <c r="BY951" s="75"/>
      <c r="BZ951" s="75"/>
      <c r="CA951" s="75"/>
      <c r="CB951" s="75"/>
      <c r="CC951" s="75"/>
      <c r="CD951" s="75"/>
      <c r="CE951" s="75"/>
      <c r="CF951" s="75"/>
      <c r="CG951" s="75"/>
      <c r="CH951" s="75"/>
      <c r="CI951" s="75"/>
      <c r="CJ951" s="75"/>
      <c r="CK951" s="75"/>
      <c r="CL951" s="75"/>
      <c r="CM951" s="75"/>
      <c r="CN951" s="75"/>
      <c r="CO951" s="75"/>
      <c r="CP951" s="75"/>
      <c r="CQ951" s="75"/>
      <c r="CR951" s="75"/>
      <c r="CS951" s="75"/>
    </row>
    <row r="952" spans="1:97" ht="15" customHeight="1">
      <c r="A952" s="65"/>
      <c r="B952" s="1679"/>
      <c r="C952" s="1680"/>
      <c r="D952" s="1680"/>
      <c r="E952" s="1680"/>
      <c r="F952" s="1680"/>
      <c r="G952" s="1680"/>
      <c r="H952" s="1680"/>
      <c r="I952" s="1680"/>
      <c r="J952" s="1680"/>
      <c r="K952" s="1680"/>
      <c r="L952" s="1680"/>
      <c r="M952" s="1680"/>
      <c r="N952" s="1680"/>
      <c r="O952" s="1680"/>
      <c r="P952" s="1680"/>
      <c r="Q952" s="1680"/>
      <c r="R952" s="1680"/>
      <c r="S952" s="1680"/>
      <c r="T952" s="1680"/>
      <c r="U952" s="1680"/>
      <c r="V952" s="1680"/>
      <c r="W952" s="1680"/>
      <c r="X952" s="1680"/>
      <c r="Y952" s="1680"/>
      <c r="Z952" s="1680"/>
      <c r="AA952" s="1680"/>
      <c r="AB952" s="1680"/>
      <c r="AC952" s="1680"/>
      <c r="AD952" s="1680"/>
      <c r="AE952" s="1681"/>
      <c r="AF952" s="1682" t="s">
        <v>528</v>
      </c>
      <c r="AG952" s="1683"/>
      <c r="AH952" s="1683"/>
      <c r="AI952" s="1684"/>
      <c r="AJ952" s="1679"/>
      <c r="AK952" s="1680"/>
      <c r="AL952" s="1680"/>
      <c r="AM952" s="1680"/>
      <c r="AN952" s="1680"/>
      <c r="AO952" s="1680"/>
      <c r="AP952" s="1680"/>
      <c r="AQ952" s="1681"/>
      <c r="AR952" s="75"/>
      <c r="AS952" s="75"/>
      <c r="AT952" s="75"/>
      <c r="AU952" s="75"/>
      <c r="AV952" s="75"/>
      <c r="AW952" s="75"/>
      <c r="AX952" s="75"/>
      <c r="AY952" s="75"/>
      <c r="AZ952" s="75"/>
      <c r="BA952" s="75"/>
      <c r="BB952" s="75"/>
      <c r="BC952" s="75"/>
      <c r="BD952" s="75"/>
      <c r="BE952" s="75"/>
      <c r="BF952" s="75"/>
      <c r="BG952" s="75"/>
      <c r="BH952" s="75"/>
      <c r="BI952" s="75"/>
      <c r="BJ952" s="75"/>
      <c r="BK952" s="75"/>
      <c r="BL952" s="75"/>
      <c r="BM952" s="75"/>
      <c r="BN952" s="75"/>
      <c r="BO952" s="75"/>
      <c r="BP952" s="75"/>
      <c r="BQ952" s="75"/>
      <c r="BR952" s="75"/>
      <c r="BS952" s="75"/>
      <c r="BT952" s="75"/>
      <c r="BU952" s="75"/>
      <c r="BV952" s="75"/>
      <c r="BW952" s="75"/>
      <c r="BX952" s="75"/>
      <c r="BY952" s="75"/>
      <c r="BZ952" s="75"/>
      <c r="CA952" s="75"/>
      <c r="CB952" s="75"/>
      <c r="CC952" s="75"/>
      <c r="CD952" s="75"/>
      <c r="CE952" s="75"/>
      <c r="CF952" s="75"/>
      <c r="CG952" s="75"/>
      <c r="CH952" s="75"/>
      <c r="CI952" s="75"/>
      <c r="CJ952" s="75"/>
      <c r="CK952" s="75"/>
      <c r="CL952" s="75"/>
      <c r="CM952" s="75"/>
      <c r="CN952" s="75"/>
      <c r="CO952" s="75"/>
      <c r="CP952" s="75"/>
      <c r="CQ952" s="75"/>
      <c r="CR952" s="75"/>
      <c r="CS952" s="75"/>
    </row>
    <row r="953" spans="1:97" ht="12.75" customHeight="1">
      <c r="A953" s="65"/>
      <c r="B953" s="124"/>
      <c r="C953" s="1469" t="s">
        <v>530</v>
      </c>
      <c r="D953" s="1648" t="s">
        <v>2163</v>
      </c>
      <c r="E953" s="1649"/>
      <c r="F953" s="1649"/>
      <c r="G953" s="1649"/>
      <c r="H953" s="1649"/>
      <c r="I953" s="1649"/>
      <c r="J953" s="1649"/>
      <c r="K953" s="1649"/>
      <c r="L953" s="1649"/>
      <c r="M953" s="1649"/>
      <c r="N953" s="1649"/>
      <c r="O953" s="1649"/>
      <c r="P953" s="1649"/>
      <c r="Q953" s="1649"/>
      <c r="R953" s="1649"/>
      <c r="S953" s="1649"/>
      <c r="T953" s="1649"/>
      <c r="U953" s="1649"/>
      <c r="V953" s="1649"/>
      <c r="W953" s="1649"/>
      <c r="X953" s="1649"/>
      <c r="Y953" s="1649"/>
      <c r="Z953" s="1649"/>
      <c r="AA953" s="1649"/>
      <c r="AB953" s="1649"/>
      <c r="AC953" s="1649"/>
      <c r="AD953" s="1649"/>
      <c r="AE953" s="1650"/>
      <c r="AF953" s="128"/>
      <c r="AG953" s="1685" t="s">
        <v>119</v>
      </c>
      <c r="AH953" s="1686"/>
      <c r="AI953" s="131"/>
      <c r="AJ953" s="1653">
        <f>ROUND(IF(AND(AG953="yes",D955&gt;0),AJ951*0.2,0),0)</f>
        <v>2411998</v>
      </c>
      <c r="AK953" s="1654"/>
      <c r="AL953" s="1654"/>
      <c r="AM953" s="1654"/>
      <c r="AN953" s="1654"/>
      <c r="AO953" s="1654"/>
      <c r="AP953" s="1654"/>
      <c r="AQ953" s="1655"/>
      <c r="AR953" s="75"/>
      <c r="AS953" s="75"/>
      <c r="AT953" s="75"/>
      <c r="AU953" s="75"/>
      <c r="AV953" s="75"/>
      <c r="AW953" s="75"/>
      <c r="AX953" s="75"/>
      <c r="AY953" s="75"/>
      <c r="AZ953" s="75"/>
      <c r="BA953" s="75"/>
      <c r="BB953" s="75"/>
      <c r="BC953" s="75"/>
      <c r="BD953" s="75"/>
      <c r="BE953" s="75"/>
      <c r="BF953" s="75"/>
      <c r="BG953" s="75"/>
      <c r="BH953" s="75"/>
      <c r="BI953" s="75"/>
      <c r="BJ953" s="75"/>
      <c r="BK953" s="75"/>
      <c r="BL953" s="75"/>
      <c r="BM953" s="75"/>
      <c r="BN953" s="75"/>
      <c r="BO953" s="75"/>
      <c r="BP953" s="75"/>
      <c r="BQ953" s="75"/>
      <c r="BR953" s="75"/>
      <c r="BS953" s="75"/>
      <c r="BT953" s="75"/>
      <c r="BU953" s="75"/>
      <c r="BV953" s="75"/>
      <c r="BW953" s="75"/>
      <c r="BX953" s="75"/>
      <c r="BY953" s="75"/>
      <c r="BZ953" s="75"/>
      <c r="CA953" s="75"/>
      <c r="CB953" s="75"/>
      <c r="CC953" s="75"/>
      <c r="CD953" s="75"/>
      <c r="CE953" s="75"/>
      <c r="CF953" s="75"/>
      <c r="CG953" s="75"/>
      <c r="CH953" s="75"/>
      <c r="CI953" s="75"/>
      <c r="CJ953" s="75"/>
      <c r="CK953" s="75"/>
      <c r="CL953" s="75"/>
      <c r="CM953" s="75"/>
      <c r="CN953" s="75"/>
      <c r="CO953" s="75"/>
      <c r="CP953" s="75"/>
      <c r="CQ953" s="75"/>
      <c r="CR953" s="75"/>
      <c r="CS953" s="75"/>
    </row>
    <row r="954" spans="1:97" ht="70.5" customHeight="1">
      <c r="A954" s="65"/>
      <c r="B954" s="1470"/>
      <c r="C954" s="1471"/>
      <c r="D954" s="1687" t="s">
        <v>2300</v>
      </c>
      <c r="E954" s="1688"/>
      <c r="F954" s="1688"/>
      <c r="G954" s="1688"/>
      <c r="H954" s="1688"/>
      <c r="I954" s="1688"/>
      <c r="J954" s="1688"/>
      <c r="K954" s="1688"/>
      <c r="L954" s="1688"/>
      <c r="M954" s="1688"/>
      <c r="N954" s="1688"/>
      <c r="O954" s="1688"/>
      <c r="P954" s="1688"/>
      <c r="Q954" s="1688"/>
      <c r="R954" s="1688"/>
      <c r="S954" s="1688"/>
      <c r="T954" s="1688"/>
      <c r="U954" s="1688"/>
      <c r="V954" s="1688"/>
      <c r="W954" s="1688"/>
      <c r="X954" s="1688"/>
      <c r="Y954" s="1688"/>
      <c r="Z954" s="1688"/>
      <c r="AA954" s="1688"/>
      <c r="AB954" s="1688"/>
      <c r="AC954" s="1688"/>
      <c r="AD954" s="1688"/>
      <c r="AE954" s="1689"/>
      <c r="AF954" s="124"/>
      <c r="AG954" s="125"/>
      <c r="AH954" s="125"/>
      <c r="AI954" s="129"/>
      <c r="AJ954" s="1656"/>
      <c r="AK954" s="1657"/>
      <c r="AL954" s="1657"/>
      <c r="AM954" s="1657"/>
      <c r="AN954" s="1657"/>
      <c r="AO954" s="1657"/>
      <c r="AP954" s="1657"/>
      <c r="AQ954" s="1658"/>
      <c r="AR954" s="75"/>
      <c r="AS954" s="75"/>
      <c r="AT954" s="75"/>
      <c r="AU954" s="75"/>
      <c r="AV954" s="75"/>
      <c r="AW954" s="75"/>
      <c r="AX954" s="75"/>
      <c r="AY954" s="75"/>
      <c r="AZ954" s="75"/>
      <c r="BA954" s="75"/>
      <c r="BB954" s="75"/>
      <c r="BC954" s="75"/>
      <c r="BD954" s="75"/>
      <c r="BE954" s="75"/>
      <c r="BF954" s="75"/>
      <c r="BG954" s="75"/>
      <c r="BH954" s="75"/>
      <c r="BI954" s="75"/>
      <c r="BJ954" s="75"/>
      <c r="BK954" s="75"/>
      <c r="BL954" s="75"/>
      <c r="BM954" s="75"/>
      <c r="BN954" s="75"/>
      <c r="BO954" s="75"/>
      <c r="BP954" s="75"/>
      <c r="BQ954" s="75"/>
      <c r="BR954" s="75"/>
      <c r="BS954" s="75"/>
      <c r="BT954" s="75"/>
      <c r="BU954" s="75"/>
      <c r="BV954" s="75"/>
      <c r="BW954" s="75"/>
      <c r="BX954" s="75"/>
      <c r="BY954" s="75"/>
      <c r="BZ954" s="75"/>
      <c r="CA954" s="75"/>
      <c r="CB954" s="75"/>
      <c r="CC954" s="75"/>
      <c r="CD954" s="75"/>
      <c r="CE954" s="75"/>
      <c r="CF954" s="75"/>
      <c r="CG954" s="75"/>
      <c r="CH954" s="75"/>
      <c r="CI954" s="75"/>
      <c r="CJ954" s="75"/>
      <c r="CK954" s="75"/>
      <c r="CL954" s="75"/>
      <c r="CM954" s="75"/>
      <c r="CN954" s="75"/>
      <c r="CO954" s="75"/>
      <c r="CP954" s="75"/>
      <c r="CQ954" s="75"/>
      <c r="CR954" s="75"/>
      <c r="CS954" s="75"/>
    </row>
    <row r="955" spans="1:97" ht="12.75" customHeight="1">
      <c r="A955" s="65"/>
      <c r="B955" s="1470"/>
      <c r="C955" s="1471"/>
      <c r="D955" s="1690" t="s">
        <v>2404</v>
      </c>
      <c r="E955" s="1691"/>
      <c r="F955" s="1691"/>
      <c r="G955" s="1691"/>
      <c r="H955" s="1691"/>
      <c r="I955" s="1691"/>
      <c r="J955" s="1691"/>
      <c r="K955" s="1691"/>
      <c r="L955" s="1691"/>
      <c r="M955" s="1691"/>
      <c r="N955" s="1691"/>
      <c r="O955" s="1691"/>
      <c r="P955" s="1691"/>
      <c r="Q955" s="1691"/>
      <c r="R955" s="1691"/>
      <c r="S955" s="1691"/>
      <c r="T955" s="1691"/>
      <c r="U955" s="1691"/>
      <c r="V955" s="1691"/>
      <c r="W955" s="1691"/>
      <c r="X955" s="1691"/>
      <c r="Y955" s="1691"/>
      <c r="Z955" s="1691"/>
      <c r="AA955" s="1691"/>
      <c r="AB955" s="1691"/>
      <c r="AC955" s="1691"/>
      <c r="AD955" s="1691"/>
      <c r="AE955" s="1692"/>
      <c r="AF955" s="126"/>
      <c r="AG955" s="15"/>
      <c r="AH955" s="15"/>
      <c r="AI955" s="127"/>
      <c r="AJ955" s="1659"/>
      <c r="AK955" s="1660"/>
      <c r="AL955" s="1660"/>
      <c r="AM955" s="1660"/>
      <c r="AN955" s="1660"/>
      <c r="AO955" s="1660"/>
      <c r="AP955" s="1660"/>
      <c r="AQ955" s="1661"/>
      <c r="AR955" s="75"/>
      <c r="AS955" s="75"/>
      <c r="AT955" s="75"/>
      <c r="AU955" s="75"/>
      <c r="AV955" s="75"/>
      <c r="AW955" s="75"/>
      <c r="AX955" s="75"/>
      <c r="AY955" s="75"/>
      <c r="AZ955" s="75"/>
      <c r="BA955" s="75"/>
      <c r="BB955" s="75"/>
      <c r="BC955" s="75"/>
      <c r="BD955" s="75"/>
      <c r="BE955" s="75"/>
      <c r="BF955" s="75"/>
      <c r="BG955" s="75"/>
      <c r="BH955" s="75"/>
      <c r="BI955" s="75"/>
      <c r="BJ955" s="75"/>
      <c r="BK955" s="75"/>
      <c r="BL955" s="75"/>
      <c r="BM955" s="75"/>
      <c r="BN955" s="75"/>
      <c r="BO955" s="75"/>
      <c r="BP955" s="75"/>
      <c r="BQ955" s="75"/>
      <c r="BR955" s="75"/>
      <c r="BS955" s="75"/>
      <c r="BT955" s="75"/>
      <c r="BU955" s="75"/>
      <c r="BV955" s="75"/>
      <c r="BW955" s="75"/>
      <c r="BX955" s="75"/>
      <c r="BY955" s="75"/>
      <c r="BZ955" s="75"/>
      <c r="CA955" s="75"/>
      <c r="CB955" s="75"/>
      <c r="CC955" s="75"/>
      <c r="CD955" s="75"/>
      <c r="CE955" s="75"/>
      <c r="CF955" s="75"/>
      <c r="CG955" s="75"/>
      <c r="CH955" s="75"/>
      <c r="CI955" s="75"/>
      <c r="CJ955" s="75"/>
      <c r="CK955" s="75"/>
      <c r="CL955" s="75"/>
      <c r="CM955" s="75"/>
      <c r="CN955" s="75"/>
      <c r="CO955" s="75"/>
      <c r="CP955" s="75"/>
      <c r="CQ955" s="75"/>
      <c r="CR955" s="75"/>
      <c r="CS955" s="75"/>
    </row>
    <row r="956" spans="1:97" ht="12.75" customHeight="1">
      <c r="A956" s="65"/>
      <c r="B956" s="1472"/>
      <c r="C956" s="1473"/>
      <c r="D956" s="1668" t="s">
        <v>2301</v>
      </c>
      <c r="E956" s="1669"/>
      <c r="F956" s="1669"/>
      <c r="G956" s="1669"/>
      <c r="H956" s="1669"/>
      <c r="I956" s="1669"/>
      <c r="J956" s="1669"/>
      <c r="K956" s="1669"/>
      <c r="L956" s="1669"/>
      <c r="M956" s="1669"/>
      <c r="N956" s="1669"/>
      <c r="O956" s="1669"/>
      <c r="P956" s="1669"/>
      <c r="Q956" s="1669"/>
      <c r="R956" s="1669"/>
      <c r="S956" s="1669"/>
      <c r="T956" s="1669"/>
      <c r="U956" s="1669"/>
      <c r="V956" s="1669"/>
      <c r="W956" s="1669"/>
      <c r="X956" s="1669"/>
      <c r="Y956" s="1669"/>
      <c r="Z956" s="1669"/>
      <c r="AA956" s="1669"/>
      <c r="AB956" s="1669"/>
      <c r="AC956" s="1669"/>
      <c r="AD956" s="1669"/>
      <c r="AE956" s="1670"/>
      <c r="AF956" s="128"/>
      <c r="AG956" s="1651" t="s">
        <v>531</v>
      </c>
      <c r="AH956" s="1652"/>
      <c r="AI956" s="131"/>
      <c r="AJ956" s="1653">
        <f>ROUND(IF(AG956="yes",AJ951*0.05,0),0)</f>
        <v>0</v>
      </c>
      <c r="AK956" s="1654"/>
      <c r="AL956" s="1654"/>
      <c r="AM956" s="1654"/>
      <c r="AN956" s="1654"/>
      <c r="AO956" s="1654"/>
      <c r="AP956" s="1654"/>
      <c r="AQ956" s="1655"/>
      <c r="AR956" s="75"/>
      <c r="AS956" s="75"/>
      <c r="AT956" s="75"/>
      <c r="AU956" s="75"/>
      <c r="AV956" s="75"/>
      <c r="AW956" s="75"/>
      <c r="AX956" s="75"/>
      <c r="AY956" s="75"/>
      <c r="AZ956" s="75"/>
      <c r="BA956" s="75"/>
      <c r="BB956" s="75"/>
      <c r="BC956" s="75"/>
      <c r="BD956" s="75"/>
      <c r="BE956" s="75"/>
      <c r="BF956" s="75"/>
      <c r="BG956" s="75"/>
      <c r="BH956" s="75"/>
      <c r="BI956" s="75"/>
      <c r="BJ956" s="75"/>
      <c r="BK956" s="75"/>
      <c r="BL956" s="75"/>
      <c r="BM956" s="75"/>
      <c r="BN956" s="75"/>
      <c r="BO956" s="75"/>
      <c r="BP956" s="75"/>
      <c r="BQ956" s="75"/>
      <c r="BR956" s="75"/>
      <c r="BS956" s="75"/>
      <c r="BT956" s="75"/>
      <c r="BU956" s="75"/>
      <c r="BV956" s="75"/>
      <c r="BW956" s="75"/>
      <c r="BX956" s="75"/>
      <c r="BY956" s="75"/>
      <c r="BZ956" s="75"/>
      <c r="CA956" s="75"/>
      <c r="CB956" s="75"/>
      <c r="CC956" s="75"/>
      <c r="CD956" s="75"/>
      <c r="CE956" s="75"/>
      <c r="CF956" s="75"/>
      <c r="CG956" s="75"/>
      <c r="CH956" s="75"/>
      <c r="CI956" s="75"/>
      <c r="CJ956" s="75"/>
      <c r="CK956" s="75"/>
      <c r="CL956" s="75"/>
      <c r="CM956" s="75"/>
      <c r="CN956" s="75"/>
      <c r="CO956" s="75"/>
      <c r="CP956" s="75"/>
      <c r="CQ956" s="75"/>
      <c r="CR956" s="75"/>
      <c r="CS956" s="75"/>
    </row>
    <row r="957" spans="1:97" s="3" customFormat="1" ht="15" customHeight="1">
      <c r="A957" s="65"/>
      <c r="B957" s="1470"/>
      <c r="C957" s="1474"/>
      <c r="D957" s="1687" t="s">
        <v>2164</v>
      </c>
      <c r="E957" s="1688"/>
      <c r="F957" s="1688"/>
      <c r="G957" s="1688"/>
      <c r="H957" s="1688"/>
      <c r="I957" s="1688"/>
      <c r="J957" s="1688"/>
      <c r="K957" s="1688"/>
      <c r="L957" s="1688"/>
      <c r="M957" s="1688"/>
      <c r="N957" s="1688"/>
      <c r="O957" s="1688"/>
      <c r="P957" s="1688"/>
      <c r="Q957" s="1688"/>
      <c r="R957" s="1688"/>
      <c r="S957" s="1688"/>
      <c r="T957" s="1688"/>
      <c r="U957" s="1688"/>
      <c r="V957" s="1688"/>
      <c r="W957" s="1688"/>
      <c r="X957" s="1688"/>
      <c r="Y957" s="1688"/>
      <c r="Z957" s="1688"/>
      <c r="AA957" s="1688"/>
      <c r="AB957" s="1688"/>
      <c r="AC957" s="1688"/>
      <c r="AD957" s="1688"/>
      <c r="AE957" s="1689"/>
      <c r="AF957" s="124"/>
      <c r="AG957" s="125"/>
      <c r="AH957" s="125"/>
      <c r="AI957" s="129"/>
      <c r="AJ957" s="1656"/>
      <c r="AK957" s="1657"/>
      <c r="AL957" s="1657"/>
      <c r="AM957" s="1657"/>
      <c r="AN957" s="1657"/>
      <c r="AO957" s="1657"/>
      <c r="AP957" s="1657"/>
      <c r="AQ957" s="1658"/>
      <c r="AR957" s="651"/>
      <c r="AS957" s="651"/>
      <c r="AT957" s="651"/>
      <c r="AU957" s="651"/>
      <c r="AV957" s="651"/>
      <c r="AW957" s="651"/>
      <c r="AX957" s="651"/>
      <c r="AY957" s="651"/>
      <c r="AZ957" s="651"/>
      <c r="BA957" s="651"/>
      <c r="BB957" s="651"/>
      <c r="BC957" s="651"/>
      <c r="BD957" s="651"/>
      <c r="BE957" s="651"/>
      <c r="BF957" s="651"/>
      <c r="BG957" s="651"/>
      <c r="BH957" s="651"/>
      <c r="BI957" s="651"/>
      <c r="BJ957" s="651"/>
      <c r="BK957" s="651"/>
      <c r="BL957" s="651"/>
      <c r="BM957" s="651"/>
      <c r="BN957" s="651"/>
      <c r="BO957" s="651"/>
      <c r="BP957" s="651"/>
      <c r="BQ957" s="651"/>
      <c r="BR957" s="651"/>
      <c r="BS957" s="651"/>
      <c r="BT957" s="651"/>
      <c r="BU957" s="651"/>
      <c r="BV957" s="651"/>
      <c r="BW957" s="651"/>
      <c r="BX957" s="651"/>
      <c r="BY957" s="651"/>
      <c r="BZ957" s="651"/>
      <c r="CA957" s="651"/>
      <c r="CB957" s="651"/>
      <c r="CC957" s="651"/>
      <c r="CD957" s="651"/>
      <c r="CE957" s="651"/>
      <c r="CF957" s="651"/>
      <c r="CG957" s="651"/>
      <c r="CH957" s="651"/>
      <c r="CI957" s="651"/>
      <c r="CJ957" s="651"/>
      <c r="CK957" s="651"/>
      <c r="CL957" s="651"/>
      <c r="CM957" s="651"/>
      <c r="CN957" s="651"/>
      <c r="CO957" s="651"/>
      <c r="CP957" s="651"/>
      <c r="CQ957" s="651"/>
      <c r="CR957" s="651"/>
      <c r="CS957" s="651"/>
    </row>
    <row r="958" spans="1:97" ht="12.75" customHeight="1">
      <c r="A958" s="65"/>
      <c r="B958" s="1470"/>
      <c r="C958" s="1474"/>
      <c r="D958" s="1687"/>
      <c r="E958" s="1688"/>
      <c r="F958" s="1688"/>
      <c r="G958" s="1688"/>
      <c r="H958" s="1688"/>
      <c r="I958" s="1688"/>
      <c r="J958" s="1688"/>
      <c r="K958" s="1688"/>
      <c r="L958" s="1688"/>
      <c r="M958" s="1688"/>
      <c r="N958" s="1688"/>
      <c r="O958" s="1688"/>
      <c r="P958" s="1688"/>
      <c r="Q958" s="1688"/>
      <c r="R958" s="1688"/>
      <c r="S958" s="1688"/>
      <c r="T958" s="1688"/>
      <c r="U958" s="1688"/>
      <c r="V958" s="1688"/>
      <c r="W958" s="1688"/>
      <c r="X958" s="1688"/>
      <c r="Y958" s="1688"/>
      <c r="Z958" s="1688"/>
      <c r="AA958" s="1688"/>
      <c r="AB958" s="1688"/>
      <c r="AC958" s="1688"/>
      <c r="AD958" s="1688"/>
      <c r="AE958" s="1689"/>
      <c r="AF958" s="124"/>
      <c r="AG958" s="125"/>
      <c r="AH958" s="125"/>
      <c r="AI958" s="129"/>
      <c r="AJ958" s="1656"/>
      <c r="AK958" s="1657"/>
      <c r="AL958" s="1657"/>
      <c r="AM958" s="1657"/>
      <c r="AN958" s="1657"/>
      <c r="AO958" s="1657"/>
      <c r="AP958" s="1657"/>
      <c r="AQ958" s="1658"/>
      <c r="AR958" s="75"/>
      <c r="AS958" s="75"/>
      <c r="AT958" s="75"/>
      <c r="AU958" s="75"/>
      <c r="AV958" s="75"/>
      <c r="AW958" s="75"/>
      <c r="AX958" s="75"/>
      <c r="AY958" s="75"/>
      <c r="AZ958" s="75"/>
      <c r="BA958" s="75"/>
      <c r="BB958" s="75"/>
      <c r="BC958" s="75"/>
      <c r="BD958" s="75"/>
      <c r="BE958" s="75"/>
      <c r="BF958" s="75"/>
      <c r="BG958" s="75"/>
      <c r="BH958" s="75"/>
      <c r="BI958" s="75"/>
      <c r="BJ958" s="75"/>
      <c r="BK958" s="75"/>
      <c r="BL958" s="75"/>
      <c r="BM958" s="75"/>
      <c r="BN958" s="75"/>
      <c r="BO958" s="75"/>
      <c r="BP958" s="75"/>
      <c r="BQ958" s="75"/>
      <c r="BR958" s="75"/>
      <c r="BS958" s="75"/>
      <c r="BT958" s="75"/>
      <c r="BU958" s="75"/>
      <c r="BV958" s="75"/>
      <c r="BW958" s="75"/>
      <c r="BX958" s="75"/>
      <c r="BY958" s="75"/>
      <c r="BZ958" s="75"/>
      <c r="CA958" s="75"/>
      <c r="CB958" s="75"/>
      <c r="CC958" s="75"/>
      <c r="CD958" s="75"/>
      <c r="CE958" s="75"/>
      <c r="CF958" s="75"/>
      <c r="CG958" s="75"/>
      <c r="CH958" s="75"/>
      <c r="CI958" s="75"/>
      <c r="CJ958" s="75"/>
      <c r="CK958" s="75"/>
      <c r="CL958" s="75"/>
      <c r="CM958" s="75"/>
      <c r="CN958" s="75"/>
      <c r="CO958" s="75"/>
      <c r="CP958" s="75"/>
      <c r="CQ958" s="75"/>
      <c r="CR958" s="75"/>
      <c r="CS958" s="75"/>
    </row>
    <row r="959" spans="1:97" ht="12.75" customHeight="1">
      <c r="A959" s="189"/>
      <c r="B959" s="1470"/>
      <c r="C959" s="1474"/>
      <c r="D959" s="1687"/>
      <c r="E959" s="1688"/>
      <c r="F959" s="1688"/>
      <c r="G959" s="1688"/>
      <c r="H959" s="1688"/>
      <c r="I959" s="1688"/>
      <c r="J959" s="1688"/>
      <c r="K959" s="1688"/>
      <c r="L959" s="1688"/>
      <c r="M959" s="1688"/>
      <c r="N959" s="1688"/>
      <c r="O959" s="1688"/>
      <c r="P959" s="1688"/>
      <c r="Q959" s="1688"/>
      <c r="R959" s="1688"/>
      <c r="S959" s="1688"/>
      <c r="T959" s="1688"/>
      <c r="U959" s="1688"/>
      <c r="V959" s="1688"/>
      <c r="W959" s="1688"/>
      <c r="X959" s="1688"/>
      <c r="Y959" s="1688"/>
      <c r="Z959" s="1688"/>
      <c r="AA959" s="1688"/>
      <c r="AB959" s="1688"/>
      <c r="AC959" s="1688"/>
      <c r="AD959" s="1688"/>
      <c r="AE959" s="1689"/>
      <c r="AF959" s="124"/>
      <c r="AG959" s="125"/>
      <c r="AH959" s="125"/>
      <c r="AI959" s="129"/>
      <c r="AJ959" s="1656"/>
      <c r="AK959" s="1657"/>
      <c r="AL959" s="1657"/>
      <c r="AM959" s="1657"/>
      <c r="AN959" s="1657"/>
      <c r="AO959" s="1657"/>
      <c r="AP959" s="1657"/>
      <c r="AQ959" s="1658"/>
      <c r="AR959" s="75"/>
      <c r="AS959" s="75"/>
      <c r="AT959" s="75"/>
      <c r="AU959" s="75"/>
      <c r="AV959" s="75"/>
      <c r="AW959" s="75"/>
      <c r="AX959" s="75"/>
      <c r="AY959" s="75"/>
      <c r="AZ959" s="75"/>
      <c r="BA959" s="75"/>
      <c r="BB959" s="75"/>
      <c r="BC959" s="75"/>
      <c r="BD959" s="75"/>
      <c r="BE959" s="75"/>
      <c r="BF959" s="75"/>
      <c r="BG959" s="75"/>
      <c r="BH959" s="75"/>
      <c r="BI959" s="75"/>
      <c r="BJ959" s="75"/>
      <c r="BK959" s="75"/>
      <c r="BL959" s="75"/>
      <c r="BM959" s="75"/>
      <c r="BN959" s="75"/>
      <c r="BO959" s="75"/>
      <c r="BP959" s="75"/>
      <c r="BQ959" s="75"/>
      <c r="BR959" s="75"/>
      <c r="BS959" s="75"/>
      <c r="BT959" s="75"/>
      <c r="BU959" s="75"/>
      <c r="BV959" s="75"/>
      <c r="BW959" s="75"/>
      <c r="BX959" s="75"/>
      <c r="BY959" s="75"/>
      <c r="BZ959" s="75"/>
      <c r="CA959" s="75"/>
      <c r="CB959" s="75"/>
      <c r="CC959" s="75"/>
      <c r="CD959" s="75"/>
      <c r="CE959" s="75"/>
      <c r="CF959" s="75"/>
      <c r="CG959" s="75"/>
      <c r="CH959" s="75"/>
      <c r="CI959" s="75"/>
      <c r="CJ959" s="75"/>
      <c r="CK959" s="75"/>
      <c r="CL959" s="75"/>
      <c r="CM959" s="75"/>
      <c r="CN959" s="75"/>
      <c r="CO959" s="75"/>
      <c r="CP959" s="75"/>
      <c r="CQ959" s="75"/>
      <c r="CR959" s="75"/>
      <c r="CS959" s="75"/>
    </row>
    <row r="960" spans="1:97" ht="12.75" customHeight="1">
      <c r="A960" s="65"/>
      <c r="B960" s="1470"/>
      <c r="C960" s="1474"/>
      <c r="D960" s="1687"/>
      <c r="E960" s="1688"/>
      <c r="F960" s="1688"/>
      <c r="G960" s="1688"/>
      <c r="H960" s="1688"/>
      <c r="I960" s="1688"/>
      <c r="J960" s="1688"/>
      <c r="K960" s="1688"/>
      <c r="L960" s="1688"/>
      <c r="M960" s="1688"/>
      <c r="N960" s="1688"/>
      <c r="O960" s="1688"/>
      <c r="P960" s="1688"/>
      <c r="Q960" s="1688"/>
      <c r="R960" s="1688"/>
      <c r="S960" s="1688"/>
      <c r="T960" s="1688"/>
      <c r="U960" s="1688"/>
      <c r="V960" s="1688"/>
      <c r="W960" s="1688"/>
      <c r="X960" s="1688"/>
      <c r="Y960" s="1688"/>
      <c r="Z960" s="1688"/>
      <c r="AA960" s="1688"/>
      <c r="AB960" s="1688"/>
      <c r="AC960" s="1688"/>
      <c r="AD960" s="1688"/>
      <c r="AE960" s="1689"/>
      <c r="AF960" s="124"/>
      <c r="AG960" s="125"/>
      <c r="AH960" s="125"/>
      <c r="AI960" s="129"/>
      <c r="AJ960" s="1656"/>
      <c r="AK960" s="1657"/>
      <c r="AL960" s="1657"/>
      <c r="AM960" s="1657"/>
      <c r="AN960" s="1657"/>
      <c r="AO960" s="1657"/>
      <c r="AP960" s="1657"/>
      <c r="AQ960" s="1658"/>
      <c r="AR960" s="75"/>
      <c r="AS960" s="75"/>
      <c r="AT960" s="75"/>
      <c r="AU960" s="75"/>
      <c r="AV960" s="75"/>
      <c r="AW960" s="75"/>
      <c r="AX960" s="75"/>
      <c r="AY960" s="75"/>
      <c r="AZ960" s="75"/>
      <c r="BA960" s="75"/>
      <c r="BB960" s="75"/>
      <c r="BC960" s="75"/>
      <c r="BD960" s="75"/>
      <c r="BE960" s="75"/>
      <c r="BF960" s="75"/>
      <c r="BG960" s="75"/>
      <c r="BH960" s="75"/>
      <c r="BI960" s="75"/>
      <c r="BJ960" s="75"/>
      <c r="BK960" s="75"/>
      <c r="BL960" s="75"/>
      <c r="BM960" s="75"/>
      <c r="BN960" s="75"/>
      <c r="BO960" s="75"/>
      <c r="BP960" s="75"/>
      <c r="BQ960" s="75"/>
      <c r="BR960" s="75"/>
      <c r="BS960" s="75"/>
      <c r="BT960" s="75"/>
      <c r="BU960" s="75"/>
      <c r="BV960" s="75"/>
      <c r="BW960" s="75"/>
      <c r="BX960" s="75"/>
      <c r="BY960" s="75"/>
      <c r="BZ960" s="75"/>
      <c r="CA960" s="75"/>
      <c r="CB960" s="75"/>
      <c r="CC960" s="75"/>
      <c r="CD960" s="75"/>
      <c r="CE960" s="75"/>
      <c r="CF960" s="75"/>
      <c r="CG960" s="75"/>
      <c r="CH960" s="75"/>
      <c r="CI960" s="75"/>
      <c r="CJ960" s="75"/>
      <c r="CK960" s="75"/>
      <c r="CL960" s="75"/>
      <c r="CM960" s="75"/>
      <c r="CN960" s="75"/>
      <c r="CO960" s="75"/>
      <c r="CP960" s="75"/>
      <c r="CQ960" s="75"/>
      <c r="CR960" s="75"/>
      <c r="CS960" s="75"/>
    </row>
    <row r="961" spans="1:97" ht="12.75" customHeight="1">
      <c r="A961" s="65"/>
      <c r="B961" s="1475"/>
      <c r="C961" s="1476"/>
      <c r="D961" s="2143"/>
      <c r="E961" s="2144"/>
      <c r="F961" s="2144"/>
      <c r="G961" s="2144"/>
      <c r="H961" s="2144"/>
      <c r="I961" s="2144"/>
      <c r="J961" s="2144"/>
      <c r="K961" s="2144"/>
      <c r="L961" s="2144"/>
      <c r="M961" s="2144"/>
      <c r="N961" s="2144"/>
      <c r="O961" s="2144"/>
      <c r="P961" s="2144"/>
      <c r="Q961" s="2144"/>
      <c r="R961" s="2144"/>
      <c r="S961" s="2144"/>
      <c r="T961" s="2144"/>
      <c r="U961" s="2144"/>
      <c r="V961" s="2144"/>
      <c r="W961" s="2144"/>
      <c r="X961" s="2144"/>
      <c r="Y961" s="2144"/>
      <c r="Z961" s="2144"/>
      <c r="AA961" s="2144"/>
      <c r="AB961" s="2144"/>
      <c r="AC961" s="2144"/>
      <c r="AD961" s="2144"/>
      <c r="AE961" s="2145"/>
      <c r="AF961" s="126"/>
      <c r="AG961" s="15"/>
      <c r="AH961" s="15"/>
      <c r="AI961" s="127"/>
      <c r="AJ961" s="1659"/>
      <c r="AK961" s="1660"/>
      <c r="AL961" s="1660"/>
      <c r="AM961" s="1660"/>
      <c r="AN961" s="1660"/>
      <c r="AO961" s="1660"/>
      <c r="AP961" s="1660"/>
      <c r="AQ961" s="1661"/>
      <c r="AR961" s="75"/>
      <c r="AS961" s="75"/>
      <c r="AT961" s="75"/>
      <c r="AU961" s="75"/>
      <c r="AV961" s="75"/>
      <c r="AW961" s="75"/>
      <c r="AX961" s="75"/>
      <c r="AY961" s="75"/>
      <c r="AZ961" s="75"/>
      <c r="BA961" s="75"/>
      <c r="BB961" s="75"/>
      <c r="BC961" s="75"/>
      <c r="BD961" s="75"/>
      <c r="BE961" s="75"/>
      <c r="BF961" s="75"/>
      <c r="BG961" s="75"/>
      <c r="BH961" s="75"/>
      <c r="BI961" s="75"/>
      <c r="BJ961" s="75"/>
      <c r="BK961" s="75"/>
      <c r="BL961" s="75"/>
      <c r="BM961" s="75"/>
      <c r="BN961" s="75"/>
      <c r="BO961" s="75"/>
      <c r="BP961" s="75"/>
      <c r="BQ961" s="75"/>
      <c r="BR961" s="75"/>
      <c r="BS961" s="75"/>
      <c r="BT961" s="75"/>
      <c r="BU961" s="75"/>
      <c r="BV961" s="75"/>
      <c r="BW961" s="75"/>
      <c r="BX961" s="75"/>
      <c r="BY961" s="75"/>
      <c r="BZ961" s="75"/>
      <c r="CA961" s="75"/>
      <c r="CB961" s="75"/>
      <c r="CC961" s="75"/>
      <c r="CD961" s="75"/>
      <c r="CE961" s="75"/>
      <c r="CF961" s="75"/>
      <c r="CG961" s="75"/>
      <c r="CH961" s="75"/>
      <c r="CI961" s="75"/>
      <c r="CJ961" s="75"/>
      <c r="CK961" s="75"/>
      <c r="CL961" s="75"/>
      <c r="CM961" s="75"/>
      <c r="CN961" s="75"/>
      <c r="CO961" s="75"/>
      <c r="CP961" s="75"/>
      <c r="CQ961" s="75"/>
      <c r="CR961" s="75"/>
      <c r="CS961" s="75"/>
    </row>
    <row r="962" spans="1:97" ht="12.75" customHeight="1">
      <c r="A962" s="65"/>
      <c r="B962" s="1472"/>
      <c r="C962" s="884" t="s">
        <v>534</v>
      </c>
      <c r="D962" s="1668" t="s">
        <v>2302</v>
      </c>
      <c r="E962" s="1669"/>
      <c r="F962" s="1669"/>
      <c r="G962" s="1669"/>
      <c r="H962" s="1669"/>
      <c r="I962" s="1669"/>
      <c r="J962" s="1669"/>
      <c r="K962" s="1669"/>
      <c r="L962" s="1669"/>
      <c r="M962" s="1669"/>
      <c r="N962" s="1669"/>
      <c r="O962" s="1669"/>
      <c r="P962" s="1669"/>
      <c r="Q962" s="1669"/>
      <c r="R962" s="1669"/>
      <c r="S962" s="1669"/>
      <c r="T962" s="1669"/>
      <c r="U962" s="1669"/>
      <c r="V962" s="1669"/>
      <c r="W962" s="1669"/>
      <c r="X962" s="1669"/>
      <c r="Y962" s="1669"/>
      <c r="Z962" s="1669"/>
      <c r="AA962" s="1669"/>
      <c r="AB962" s="1669"/>
      <c r="AC962" s="1669"/>
      <c r="AD962" s="1669"/>
      <c r="AE962" s="1670"/>
      <c r="AF962" s="130"/>
      <c r="AG962" s="1651" t="s">
        <v>531</v>
      </c>
      <c r="AH962" s="1652"/>
      <c r="AI962" s="131"/>
      <c r="AJ962" s="1653">
        <f>ROUND(IF(AG962="yes",AJ951*0.1,0),0)</f>
        <v>0</v>
      </c>
      <c r="AK962" s="1654"/>
      <c r="AL962" s="1654"/>
      <c r="AM962" s="1654"/>
      <c r="AN962" s="1654"/>
      <c r="AO962" s="1654"/>
      <c r="AP962" s="1654"/>
      <c r="AQ962" s="1655"/>
      <c r="AR962" s="75"/>
      <c r="AS962" s="75"/>
      <c r="AT962" s="75"/>
      <c r="AU962" s="75"/>
      <c r="AV962" s="75"/>
      <c r="AW962" s="75"/>
      <c r="AX962" s="75"/>
      <c r="AY962" s="75"/>
      <c r="AZ962" s="75"/>
      <c r="BA962" s="75"/>
      <c r="BB962" s="75"/>
      <c r="BC962" s="75"/>
      <c r="BD962" s="75"/>
      <c r="BE962" s="75"/>
      <c r="BF962" s="75"/>
      <c r="BG962" s="75"/>
      <c r="BH962" s="75"/>
      <c r="BI962" s="75"/>
      <c r="BJ962" s="75"/>
      <c r="BK962" s="75"/>
      <c r="BL962" s="75"/>
      <c r="BM962" s="75"/>
      <c r="BN962" s="75"/>
      <c r="BO962" s="75"/>
      <c r="BP962" s="75"/>
      <c r="BQ962" s="75"/>
      <c r="BR962" s="75"/>
      <c r="BS962" s="75"/>
      <c r="BT962" s="75"/>
      <c r="BU962" s="75"/>
      <c r="BV962" s="75"/>
      <c r="BW962" s="75"/>
      <c r="BX962" s="75"/>
      <c r="BY962" s="75"/>
      <c r="BZ962" s="75"/>
      <c r="CA962" s="75"/>
      <c r="CB962" s="75"/>
      <c r="CC962" s="75"/>
      <c r="CD962" s="75"/>
      <c r="CE962" s="75"/>
      <c r="CF962" s="75"/>
      <c r="CG962" s="75"/>
      <c r="CH962" s="75"/>
      <c r="CI962" s="75"/>
      <c r="CJ962" s="75"/>
      <c r="CK962" s="75"/>
      <c r="CL962" s="75"/>
      <c r="CM962" s="75"/>
      <c r="CN962" s="75"/>
      <c r="CO962" s="75"/>
      <c r="CP962" s="75"/>
      <c r="CQ962" s="75"/>
      <c r="CR962" s="75"/>
      <c r="CS962" s="75"/>
    </row>
    <row r="963" spans="1:97" ht="12.75" customHeight="1">
      <c r="A963" s="65"/>
      <c r="B963" s="124"/>
      <c r="C963" s="885"/>
      <c r="D963" s="1662" t="s">
        <v>2303</v>
      </c>
      <c r="E963" s="1663"/>
      <c r="F963" s="1663"/>
      <c r="G963" s="1663"/>
      <c r="H963" s="1663"/>
      <c r="I963" s="1663"/>
      <c r="J963" s="1663"/>
      <c r="K963" s="1663"/>
      <c r="L963" s="1663"/>
      <c r="M963" s="1663"/>
      <c r="N963" s="1663"/>
      <c r="O963" s="1663"/>
      <c r="P963" s="1663"/>
      <c r="Q963" s="1663"/>
      <c r="R963" s="1663"/>
      <c r="S963" s="1663"/>
      <c r="T963" s="1663"/>
      <c r="U963" s="1663"/>
      <c r="V963" s="1663"/>
      <c r="W963" s="1663"/>
      <c r="X963" s="1663"/>
      <c r="Y963" s="1663"/>
      <c r="Z963" s="1663"/>
      <c r="AA963" s="1663"/>
      <c r="AB963" s="1663"/>
      <c r="AC963" s="1663"/>
      <c r="AD963" s="1663"/>
      <c r="AE963" s="1664"/>
      <c r="AF963" s="124"/>
      <c r="AG963" s="35"/>
      <c r="AH963" s="35"/>
      <c r="AI963" s="129"/>
      <c r="AJ963" s="1656"/>
      <c r="AK963" s="1657"/>
      <c r="AL963" s="1657"/>
      <c r="AM963" s="1657"/>
      <c r="AN963" s="1657"/>
      <c r="AO963" s="1657"/>
      <c r="AP963" s="1657"/>
      <c r="AQ963" s="1658"/>
      <c r="AR963" s="75"/>
      <c r="AS963" s="75"/>
      <c r="AT963" s="75"/>
      <c r="AU963" s="75"/>
      <c r="AV963" s="75"/>
      <c r="AW963" s="75"/>
      <c r="AX963" s="75"/>
      <c r="AY963" s="75"/>
      <c r="AZ963" s="75"/>
      <c r="BA963" s="75"/>
      <c r="BB963" s="75"/>
      <c r="BC963" s="75"/>
      <c r="BD963" s="75"/>
      <c r="BE963" s="75"/>
      <c r="BF963" s="75"/>
      <c r="BG963" s="75"/>
      <c r="BH963" s="75"/>
      <c r="BI963" s="75"/>
      <c r="BJ963" s="75"/>
      <c r="BK963" s="75"/>
      <c r="BL963" s="75"/>
      <c r="BM963" s="75"/>
      <c r="BN963" s="75"/>
      <c r="BO963" s="75"/>
      <c r="BP963" s="75"/>
      <c r="BQ963" s="75"/>
      <c r="BR963" s="75"/>
      <c r="BS963" s="75"/>
      <c r="BT963" s="75"/>
      <c r="BU963" s="75"/>
      <c r="BV963" s="75"/>
      <c r="BW963" s="75"/>
      <c r="BX963" s="75"/>
      <c r="BY963" s="75"/>
      <c r="BZ963" s="75"/>
      <c r="CA963" s="75"/>
      <c r="CB963" s="75"/>
      <c r="CC963" s="75"/>
      <c r="CD963" s="75"/>
      <c r="CE963" s="75"/>
      <c r="CF963" s="75"/>
      <c r="CG963" s="75"/>
      <c r="CH963" s="75"/>
      <c r="CI963" s="75"/>
      <c r="CJ963" s="75"/>
      <c r="CK963" s="75"/>
      <c r="CL963" s="75"/>
      <c r="CM963" s="75"/>
      <c r="CN963" s="75"/>
      <c r="CO963" s="75"/>
      <c r="CP963" s="75"/>
      <c r="CQ963" s="75"/>
      <c r="CR963" s="75"/>
      <c r="CS963" s="75"/>
    </row>
    <row r="964" spans="1:97" ht="12.75" customHeight="1">
      <c r="A964" s="65"/>
      <c r="B964" s="124"/>
      <c r="C964" s="885"/>
      <c r="D964" s="1662"/>
      <c r="E964" s="1663"/>
      <c r="F964" s="1663"/>
      <c r="G964" s="1663"/>
      <c r="H964" s="1663"/>
      <c r="I964" s="1663"/>
      <c r="J964" s="1663"/>
      <c r="K964" s="1663"/>
      <c r="L964" s="1663"/>
      <c r="M964" s="1663"/>
      <c r="N964" s="1663"/>
      <c r="O964" s="1663"/>
      <c r="P964" s="1663"/>
      <c r="Q964" s="1663"/>
      <c r="R964" s="1663"/>
      <c r="S964" s="1663"/>
      <c r="T964" s="1663"/>
      <c r="U964" s="1663"/>
      <c r="V964" s="1663"/>
      <c r="W964" s="1663"/>
      <c r="X964" s="1663"/>
      <c r="Y964" s="1663"/>
      <c r="Z964" s="1663"/>
      <c r="AA964" s="1663"/>
      <c r="AB964" s="1663"/>
      <c r="AC964" s="1663"/>
      <c r="AD964" s="1663"/>
      <c r="AE964" s="1664"/>
      <c r="AF964" s="124"/>
      <c r="AG964" s="125"/>
      <c r="AH964" s="125"/>
      <c r="AI964" s="129"/>
      <c r="AJ964" s="1656"/>
      <c r="AK964" s="1657"/>
      <c r="AL964" s="1657"/>
      <c r="AM964" s="1657"/>
      <c r="AN964" s="1657"/>
      <c r="AO964" s="1657"/>
      <c r="AP964" s="1657"/>
      <c r="AQ964" s="1658"/>
      <c r="AR964" s="75"/>
      <c r="AS964" s="75"/>
      <c r="AT964" s="75"/>
      <c r="AU964" s="75"/>
      <c r="AV964" s="75"/>
      <c r="AW964" s="75"/>
      <c r="AX964" s="75"/>
      <c r="AY964" s="75"/>
      <c r="AZ964" s="75"/>
      <c r="BA964" s="75"/>
      <c r="BB964" s="75"/>
      <c r="BC964" s="75"/>
      <c r="BD964" s="75"/>
      <c r="BE964" s="75"/>
      <c r="BF964" s="75"/>
      <c r="BG964" s="75"/>
      <c r="BH964" s="75"/>
      <c r="BI964" s="75"/>
      <c r="BJ964" s="75"/>
      <c r="BK964" s="75"/>
      <c r="BL964" s="75"/>
      <c r="BM964" s="75"/>
      <c r="BN964" s="75"/>
      <c r="BO964" s="75"/>
      <c r="BP964" s="75"/>
      <c r="BQ964" s="75"/>
      <c r="BR964" s="75"/>
      <c r="BS964" s="75"/>
      <c r="BT964" s="75"/>
      <c r="BU964" s="75"/>
      <c r="BV964" s="75"/>
      <c r="BW964" s="75"/>
      <c r="BX964" s="75"/>
      <c r="BY964" s="75"/>
      <c r="BZ964" s="75"/>
      <c r="CA964" s="75"/>
      <c r="CB964" s="75"/>
      <c r="CC964" s="75"/>
      <c r="CD964" s="75"/>
      <c r="CE964" s="75"/>
      <c r="CF964" s="75"/>
      <c r="CG964" s="75"/>
      <c r="CH964" s="75"/>
      <c r="CI964" s="75"/>
      <c r="CJ964" s="75"/>
      <c r="CK964" s="75"/>
      <c r="CL964" s="75"/>
      <c r="CM964" s="75"/>
      <c r="CN964" s="75"/>
      <c r="CO964" s="75"/>
      <c r="CP964" s="75"/>
      <c r="CQ964" s="75"/>
      <c r="CR964" s="75"/>
      <c r="CS964" s="75"/>
    </row>
    <row r="965" spans="1:97" ht="12.75" customHeight="1">
      <c r="A965" s="65"/>
      <c r="B965" s="1477"/>
      <c r="C965" s="1476"/>
      <c r="D965" s="1665"/>
      <c r="E965" s="1666"/>
      <c r="F965" s="1666"/>
      <c r="G965" s="1666"/>
      <c r="H965" s="1666"/>
      <c r="I965" s="1666"/>
      <c r="J965" s="1666"/>
      <c r="K965" s="1666"/>
      <c r="L965" s="1666"/>
      <c r="M965" s="1666"/>
      <c r="N965" s="1666"/>
      <c r="O965" s="1666"/>
      <c r="P965" s="1666"/>
      <c r="Q965" s="1666"/>
      <c r="R965" s="1666"/>
      <c r="S965" s="1666"/>
      <c r="T965" s="1666"/>
      <c r="U965" s="1666"/>
      <c r="V965" s="1666"/>
      <c r="W965" s="1666"/>
      <c r="X965" s="1666"/>
      <c r="Y965" s="1666"/>
      <c r="Z965" s="1666"/>
      <c r="AA965" s="1666"/>
      <c r="AB965" s="1666"/>
      <c r="AC965" s="1666"/>
      <c r="AD965" s="1666"/>
      <c r="AE965" s="1667"/>
      <c r="AF965" s="126"/>
      <c r="AG965" s="15"/>
      <c r="AH965" s="15"/>
      <c r="AI965" s="127"/>
      <c r="AJ965" s="1659"/>
      <c r="AK965" s="1660"/>
      <c r="AL965" s="1660"/>
      <c r="AM965" s="1660"/>
      <c r="AN965" s="1660"/>
      <c r="AO965" s="1660"/>
      <c r="AP965" s="1660"/>
      <c r="AQ965" s="1661"/>
      <c r="AR965" s="75"/>
      <c r="AS965" s="75"/>
      <c r="AT965" s="75"/>
      <c r="AU965" s="75"/>
      <c r="AV965" s="75"/>
      <c r="AW965" s="75"/>
      <c r="AX965" s="75"/>
      <c r="AY965" s="75"/>
      <c r="AZ965" s="75"/>
      <c r="BA965" s="75"/>
      <c r="BB965" s="75"/>
      <c r="BC965" s="75"/>
      <c r="BD965" s="75"/>
      <c r="BE965" s="75"/>
      <c r="BF965" s="75"/>
      <c r="BG965" s="75"/>
      <c r="BH965" s="75"/>
      <c r="BI965" s="75"/>
      <c r="BJ965" s="75"/>
      <c r="BK965" s="75"/>
      <c r="BL965" s="75"/>
      <c r="BM965" s="75"/>
      <c r="BN965" s="75"/>
      <c r="BO965" s="75"/>
      <c r="BP965" s="75"/>
      <c r="BQ965" s="75"/>
      <c r="BR965" s="75"/>
      <c r="BS965" s="75"/>
      <c r="BT965" s="75"/>
      <c r="BU965" s="75"/>
      <c r="BV965" s="75"/>
      <c r="BW965" s="75"/>
      <c r="BX965" s="75"/>
      <c r="BY965" s="75"/>
      <c r="BZ965" s="75"/>
      <c r="CA965" s="75"/>
      <c r="CB965" s="75"/>
      <c r="CC965" s="75"/>
      <c r="CD965" s="75"/>
      <c r="CE965" s="75"/>
      <c r="CF965" s="75"/>
      <c r="CG965" s="75"/>
      <c r="CH965" s="75"/>
      <c r="CI965" s="75"/>
      <c r="CJ965" s="75"/>
      <c r="CK965" s="75"/>
      <c r="CL965" s="75"/>
      <c r="CM965" s="75"/>
      <c r="CN965" s="75"/>
      <c r="CO965" s="75"/>
      <c r="CP965" s="75"/>
      <c r="CQ965" s="75"/>
      <c r="CR965" s="75"/>
      <c r="CS965" s="75"/>
    </row>
    <row r="966" spans="1:97" ht="12.75" customHeight="1">
      <c r="A966" s="65"/>
      <c r="B966" s="128"/>
      <c r="C966" s="884" t="s">
        <v>538</v>
      </c>
      <c r="D966" s="1668" t="s">
        <v>2165</v>
      </c>
      <c r="E966" s="1669"/>
      <c r="F966" s="1669"/>
      <c r="G966" s="1669"/>
      <c r="H966" s="1669"/>
      <c r="I966" s="1669"/>
      <c r="J966" s="1669"/>
      <c r="K966" s="1669"/>
      <c r="L966" s="1669"/>
      <c r="M966" s="1669"/>
      <c r="N966" s="1669"/>
      <c r="O966" s="1669"/>
      <c r="P966" s="1669"/>
      <c r="Q966" s="1669"/>
      <c r="R966" s="1669"/>
      <c r="S966" s="1669"/>
      <c r="T966" s="1669"/>
      <c r="U966" s="1669"/>
      <c r="V966" s="1669"/>
      <c r="W966" s="1669"/>
      <c r="X966" s="1669"/>
      <c r="Y966" s="1669"/>
      <c r="Z966" s="1669"/>
      <c r="AA966" s="1669"/>
      <c r="AB966" s="1669"/>
      <c r="AC966" s="1669"/>
      <c r="AD966" s="1669"/>
      <c r="AE966" s="1670"/>
      <c r="AF966" s="128"/>
      <c r="AG966" s="1651" t="s">
        <v>531</v>
      </c>
      <c r="AH966" s="1652"/>
      <c r="AI966" s="131"/>
      <c r="AJ966" s="1653">
        <f>ROUND(IF(AG966="yes",AJ951*0.02,0),0)</f>
        <v>0</v>
      </c>
      <c r="AK966" s="1654"/>
      <c r="AL966" s="1654"/>
      <c r="AM966" s="1654"/>
      <c r="AN966" s="1654"/>
      <c r="AO966" s="1654"/>
      <c r="AP966" s="1654"/>
      <c r="AQ966" s="1655"/>
      <c r="AR966" s="75"/>
      <c r="AS966" s="75"/>
      <c r="AT966" s="75"/>
      <c r="AU966" s="75"/>
      <c r="AV966" s="75"/>
      <c r="AW966" s="75"/>
      <c r="AX966" s="75"/>
      <c r="AY966" s="75"/>
      <c r="AZ966" s="75"/>
      <c r="BA966" s="75"/>
      <c r="BB966" s="75"/>
      <c r="BC966" s="75"/>
      <c r="BD966" s="75"/>
      <c r="BE966" s="75"/>
      <c r="BF966" s="75"/>
      <c r="BG966" s="75"/>
      <c r="BH966" s="75"/>
      <c r="BI966" s="75"/>
      <c r="BJ966" s="75"/>
      <c r="BK966" s="75"/>
      <c r="BL966" s="75"/>
      <c r="BM966" s="75"/>
      <c r="BN966" s="75"/>
      <c r="BO966" s="75"/>
      <c r="BP966" s="75"/>
      <c r="BQ966" s="75"/>
      <c r="BR966" s="75"/>
      <c r="BS966" s="75"/>
      <c r="BT966" s="75"/>
      <c r="BU966" s="75"/>
      <c r="BV966" s="75"/>
      <c r="BW966" s="75"/>
      <c r="BX966" s="75"/>
      <c r="BY966" s="75"/>
      <c r="BZ966" s="75"/>
      <c r="CA966" s="75"/>
      <c r="CB966" s="75"/>
      <c r="CC966" s="75"/>
      <c r="CD966" s="75"/>
      <c r="CE966" s="75"/>
      <c r="CF966" s="75"/>
      <c r="CG966" s="75"/>
      <c r="CH966" s="75"/>
      <c r="CI966" s="75"/>
      <c r="CJ966" s="75"/>
      <c r="CK966" s="75"/>
      <c r="CL966" s="75"/>
      <c r="CM966" s="75"/>
      <c r="CN966" s="75"/>
      <c r="CO966" s="75"/>
      <c r="CP966" s="75"/>
      <c r="CQ966" s="75"/>
      <c r="CR966" s="75"/>
      <c r="CS966" s="75"/>
    </row>
    <row r="967" spans="1:97" ht="12.75" customHeight="1">
      <c r="A967" s="65"/>
      <c r="B967" s="124"/>
      <c r="C967" s="885"/>
      <c r="D967" s="1665" t="s">
        <v>2166</v>
      </c>
      <c r="E967" s="1666"/>
      <c r="F967" s="1666"/>
      <c r="G967" s="1666"/>
      <c r="H967" s="1666"/>
      <c r="I967" s="1666"/>
      <c r="J967" s="1666"/>
      <c r="K967" s="1666"/>
      <c r="L967" s="1666"/>
      <c r="M967" s="1666"/>
      <c r="N967" s="1666"/>
      <c r="O967" s="1666"/>
      <c r="P967" s="1666"/>
      <c r="Q967" s="1666"/>
      <c r="R967" s="1666"/>
      <c r="S967" s="1666"/>
      <c r="T967" s="1666"/>
      <c r="U967" s="1666"/>
      <c r="V967" s="1666"/>
      <c r="W967" s="1666"/>
      <c r="X967" s="1666"/>
      <c r="Y967" s="1666"/>
      <c r="Z967" s="1666"/>
      <c r="AA967" s="1666"/>
      <c r="AB967" s="1666"/>
      <c r="AC967" s="1666"/>
      <c r="AD967" s="1666"/>
      <c r="AE967" s="1667"/>
      <c r="AF967" s="126"/>
      <c r="AG967" s="15"/>
      <c r="AH967" s="15"/>
      <c r="AI967" s="127"/>
      <c r="AJ967" s="1659"/>
      <c r="AK967" s="1660"/>
      <c r="AL967" s="1660"/>
      <c r="AM967" s="1660"/>
      <c r="AN967" s="1660"/>
      <c r="AO967" s="1660"/>
      <c r="AP967" s="1660"/>
      <c r="AQ967" s="1661"/>
      <c r="AR967" s="75"/>
      <c r="AS967" s="75"/>
      <c r="AT967" s="75"/>
      <c r="AU967" s="75"/>
      <c r="AV967" s="75"/>
      <c r="AW967" s="75"/>
      <c r="AX967" s="75"/>
      <c r="AY967" s="75"/>
      <c r="AZ967" s="75"/>
      <c r="BA967" s="75"/>
      <c r="BB967" s="75"/>
      <c r="BC967" s="75"/>
      <c r="BD967" s="75"/>
      <c r="BE967" s="75"/>
      <c r="BF967" s="75"/>
      <c r="BG967" s="75"/>
      <c r="BH967" s="75"/>
      <c r="BI967" s="75"/>
      <c r="BJ967" s="75"/>
      <c r="BK967" s="75"/>
      <c r="BL967" s="75"/>
      <c r="BM967" s="75"/>
      <c r="BN967" s="75"/>
      <c r="BO967" s="75"/>
      <c r="BP967" s="75"/>
      <c r="BQ967" s="75"/>
      <c r="BR967" s="75"/>
      <c r="BS967" s="75"/>
      <c r="BT967" s="75"/>
      <c r="BU967" s="75"/>
      <c r="BV967" s="75"/>
      <c r="BW967" s="75"/>
      <c r="BX967" s="75"/>
      <c r="BY967" s="75"/>
      <c r="BZ967" s="75"/>
      <c r="CA967" s="75"/>
      <c r="CB967" s="75"/>
      <c r="CC967" s="75"/>
      <c r="CD967" s="75"/>
      <c r="CE967" s="75"/>
      <c r="CF967" s="75"/>
      <c r="CG967" s="75"/>
      <c r="CH967" s="75"/>
      <c r="CI967" s="75"/>
      <c r="CJ967" s="75"/>
      <c r="CK967" s="75"/>
      <c r="CL967" s="75"/>
      <c r="CM967" s="75"/>
      <c r="CN967" s="75"/>
      <c r="CO967" s="75"/>
      <c r="CP967" s="75"/>
      <c r="CQ967" s="75"/>
      <c r="CR967" s="75"/>
      <c r="CS967" s="75"/>
    </row>
    <row r="968" spans="1:97" ht="12.75" customHeight="1">
      <c r="A968" s="65"/>
      <c r="B968" s="128"/>
      <c r="C968" s="884" t="s">
        <v>541</v>
      </c>
      <c r="D968" s="1668" t="s">
        <v>2167</v>
      </c>
      <c r="E968" s="1669"/>
      <c r="F968" s="1669"/>
      <c r="G968" s="1669"/>
      <c r="H968" s="1669"/>
      <c r="I968" s="1669"/>
      <c r="J968" s="1669"/>
      <c r="K968" s="1669"/>
      <c r="L968" s="1669"/>
      <c r="M968" s="1669"/>
      <c r="N968" s="1669"/>
      <c r="O968" s="1669"/>
      <c r="P968" s="1669"/>
      <c r="Q968" s="1669"/>
      <c r="R968" s="1669"/>
      <c r="S968" s="1669"/>
      <c r="T968" s="1669"/>
      <c r="U968" s="1669"/>
      <c r="V968" s="1669"/>
      <c r="W968" s="1669"/>
      <c r="X968" s="1669"/>
      <c r="Y968" s="1669"/>
      <c r="Z968" s="1669"/>
      <c r="AA968" s="1669"/>
      <c r="AB968" s="1669"/>
      <c r="AC968" s="1669"/>
      <c r="AD968" s="1669"/>
      <c r="AE968" s="1670"/>
      <c r="AF968" s="128"/>
      <c r="AG968" s="1651" t="s">
        <v>531</v>
      </c>
      <c r="AH968" s="1652"/>
      <c r="AI968" s="128"/>
      <c r="AJ968" s="1653">
        <f>ROUND(IF(AG968="yes",AJ951*0.02,0),0)</f>
        <v>0</v>
      </c>
      <c r="AK968" s="1654"/>
      <c r="AL968" s="1654"/>
      <c r="AM968" s="1654"/>
      <c r="AN968" s="1654"/>
      <c r="AO968" s="1654"/>
      <c r="AP968" s="1654"/>
      <c r="AQ968" s="1655"/>
      <c r="AR968" s="75"/>
      <c r="AS968" s="75"/>
      <c r="AT968" s="75"/>
      <c r="AU968" s="75"/>
      <c r="AV968" s="75"/>
      <c r="AW968" s="75"/>
      <c r="AX968" s="75"/>
      <c r="AY968" s="75"/>
      <c r="AZ968" s="75"/>
      <c r="BA968" s="75"/>
      <c r="BB968" s="75"/>
      <c r="BC968" s="75"/>
      <c r="BD968" s="75"/>
      <c r="BE968" s="75"/>
      <c r="BF968" s="75"/>
      <c r="BG968" s="75"/>
      <c r="BH968" s="75"/>
      <c r="BI968" s="75"/>
      <c r="BJ968" s="75"/>
      <c r="BK968" s="75"/>
      <c r="BL968" s="75"/>
      <c r="BM968" s="75"/>
      <c r="BN968" s="75"/>
      <c r="BO968" s="75"/>
      <c r="BP968" s="75"/>
      <c r="BQ968" s="75"/>
      <c r="BR968" s="75"/>
      <c r="BS968" s="75"/>
      <c r="BT968" s="75"/>
      <c r="BU968" s="75"/>
      <c r="BV968" s="75"/>
      <c r="BW968" s="75"/>
      <c r="BX968" s="75"/>
      <c r="BY968" s="75"/>
      <c r="BZ968" s="75"/>
      <c r="CA968" s="75"/>
      <c r="CB968" s="75"/>
      <c r="CC968" s="75"/>
      <c r="CD968" s="75"/>
      <c r="CE968" s="75"/>
      <c r="CF968" s="75"/>
      <c r="CG968" s="75"/>
      <c r="CH968" s="75"/>
      <c r="CI968" s="75"/>
      <c r="CJ968" s="75"/>
      <c r="CK968" s="75"/>
      <c r="CL968" s="75"/>
      <c r="CM968" s="75"/>
      <c r="CN968" s="75"/>
      <c r="CO968" s="75"/>
      <c r="CP968" s="75"/>
      <c r="CQ968" s="75"/>
      <c r="CR968" s="75"/>
      <c r="CS968" s="75"/>
    </row>
    <row r="969" spans="1:97" ht="12.75" customHeight="1">
      <c r="A969" s="65"/>
      <c r="B969" s="124"/>
      <c r="C969" s="885"/>
      <c r="D969" s="1662" t="s">
        <v>2168</v>
      </c>
      <c r="E969" s="1663"/>
      <c r="F969" s="1663"/>
      <c r="G969" s="1663"/>
      <c r="H969" s="1663"/>
      <c r="I969" s="1663"/>
      <c r="J969" s="1663"/>
      <c r="K969" s="1663"/>
      <c r="L969" s="1663"/>
      <c r="M969" s="1663"/>
      <c r="N969" s="1663"/>
      <c r="O969" s="1663"/>
      <c r="P969" s="1663"/>
      <c r="Q969" s="1663"/>
      <c r="R969" s="1663"/>
      <c r="S969" s="1663"/>
      <c r="T969" s="1663"/>
      <c r="U969" s="1663"/>
      <c r="V969" s="1663"/>
      <c r="W969" s="1663"/>
      <c r="X969" s="1663"/>
      <c r="Y969" s="1663"/>
      <c r="Z969" s="1663"/>
      <c r="AA969" s="1663"/>
      <c r="AB969" s="1663"/>
      <c r="AC969" s="1663"/>
      <c r="AD969" s="1663"/>
      <c r="AE969" s="1664"/>
      <c r="AF969" s="124"/>
      <c r="AG969" s="35"/>
      <c r="AH969" s="35"/>
      <c r="AI969" s="125"/>
      <c r="AJ969" s="1656"/>
      <c r="AK969" s="1657"/>
      <c r="AL969" s="1657"/>
      <c r="AM969" s="1657"/>
      <c r="AN969" s="1657"/>
      <c r="AO969" s="1657"/>
      <c r="AP969" s="1657"/>
      <c r="AQ969" s="1658"/>
      <c r="AR969" s="75"/>
      <c r="AS969" s="75"/>
      <c r="AT969" s="75"/>
      <c r="AU969" s="75"/>
      <c r="AV969" s="75"/>
      <c r="AW969" s="75"/>
      <c r="AX969" s="75"/>
      <c r="AY969" s="75"/>
      <c r="AZ969" s="75"/>
      <c r="BA969" s="75"/>
      <c r="BB969" s="75"/>
      <c r="BC969" s="75"/>
      <c r="BD969" s="75"/>
      <c r="BE969" s="75"/>
      <c r="BF969" s="75"/>
      <c r="BG969" s="75"/>
      <c r="BH969" s="75"/>
      <c r="BI969" s="75"/>
      <c r="BJ969" s="75"/>
      <c r="BK969" s="75"/>
      <c r="BL969" s="75"/>
      <c r="BM969" s="75"/>
      <c r="BN969" s="75"/>
      <c r="BO969" s="75"/>
      <c r="BP969" s="75"/>
      <c r="BQ969" s="75"/>
      <c r="BR969" s="75"/>
      <c r="BS969" s="75"/>
      <c r="BT969" s="75"/>
      <c r="BU969" s="75"/>
      <c r="BV969" s="75"/>
      <c r="BW969" s="75"/>
      <c r="BX969" s="75"/>
      <c r="BY969" s="75"/>
      <c r="BZ969" s="75"/>
      <c r="CA969" s="75"/>
      <c r="CB969" s="75"/>
      <c r="CC969" s="75"/>
      <c r="CD969" s="75"/>
      <c r="CE969" s="75"/>
      <c r="CF969" s="75"/>
      <c r="CG969" s="75"/>
      <c r="CH969" s="75"/>
      <c r="CI969" s="75"/>
      <c r="CJ969" s="75"/>
      <c r="CK969" s="75"/>
      <c r="CL969" s="75"/>
      <c r="CM969" s="75"/>
      <c r="CN969" s="75"/>
      <c r="CO969" s="75"/>
      <c r="CP969" s="75"/>
      <c r="CQ969" s="75"/>
      <c r="CR969" s="75"/>
      <c r="CS969" s="75"/>
    </row>
    <row r="970" spans="1:97" ht="12.75" customHeight="1">
      <c r="A970" s="65"/>
      <c r="B970" s="1475"/>
      <c r="C970" s="1476"/>
      <c r="D970" s="1665"/>
      <c r="E970" s="1666"/>
      <c r="F970" s="1666"/>
      <c r="G970" s="1666"/>
      <c r="H970" s="1666"/>
      <c r="I970" s="1666"/>
      <c r="J970" s="1666"/>
      <c r="K970" s="1666"/>
      <c r="L970" s="1666"/>
      <c r="M970" s="1666"/>
      <c r="N970" s="1666"/>
      <c r="O970" s="1666"/>
      <c r="P970" s="1666"/>
      <c r="Q970" s="1666"/>
      <c r="R970" s="1666"/>
      <c r="S970" s="1666"/>
      <c r="T970" s="1666"/>
      <c r="U970" s="1666"/>
      <c r="V970" s="1666"/>
      <c r="W970" s="1666"/>
      <c r="X970" s="1666"/>
      <c r="Y970" s="1666"/>
      <c r="Z970" s="1666"/>
      <c r="AA970" s="1666"/>
      <c r="AB970" s="1666"/>
      <c r="AC970" s="1666"/>
      <c r="AD970" s="1666"/>
      <c r="AE970" s="1667"/>
      <c r="AF970" s="126"/>
      <c r="AG970" s="15"/>
      <c r="AH970" s="15"/>
      <c r="AI970" s="127"/>
      <c r="AJ970" s="1659"/>
      <c r="AK970" s="1660"/>
      <c r="AL970" s="1660"/>
      <c r="AM970" s="1660"/>
      <c r="AN970" s="1660"/>
      <c r="AO970" s="1660"/>
      <c r="AP970" s="1660"/>
      <c r="AQ970" s="1661"/>
      <c r="AR970" s="75"/>
      <c r="AS970" s="75"/>
      <c r="AT970" s="75"/>
      <c r="AU970" s="75"/>
      <c r="AV970" s="75"/>
      <c r="AW970" s="75"/>
      <c r="AX970" s="75"/>
      <c r="AY970" s="75"/>
      <c r="AZ970" s="75"/>
      <c r="BA970" s="75"/>
      <c r="BB970" s="75"/>
      <c r="BC970" s="75"/>
      <c r="BD970" s="75"/>
      <c r="BE970" s="75"/>
      <c r="BF970" s="75"/>
      <c r="BG970" s="75"/>
      <c r="BH970" s="75"/>
      <c r="BI970" s="75"/>
      <c r="BJ970" s="75"/>
      <c r="BK970" s="75"/>
      <c r="BL970" s="75"/>
      <c r="BM970" s="75"/>
      <c r="BN970" s="75"/>
      <c r="BO970" s="75"/>
      <c r="BP970" s="75"/>
      <c r="BQ970" s="75"/>
      <c r="BR970" s="75"/>
      <c r="BS970" s="75"/>
      <c r="BT970" s="75"/>
      <c r="BU970" s="75"/>
      <c r="BV970" s="75"/>
      <c r="BW970" s="75"/>
      <c r="BX970" s="75"/>
      <c r="BY970" s="75"/>
      <c r="BZ970" s="75"/>
      <c r="CA970" s="75"/>
      <c r="CB970" s="75"/>
      <c r="CC970" s="75"/>
      <c r="CD970" s="75"/>
      <c r="CE970" s="75"/>
      <c r="CF970" s="75"/>
      <c r="CG970" s="75"/>
      <c r="CH970" s="75"/>
      <c r="CI970" s="75"/>
      <c r="CJ970" s="75"/>
      <c r="CK970" s="75"/>
      <c r="CL970" s="75"/>
      <c r="CM970" s="75"/>
      <c r="CN970" s="75"/>
      <c r="CO970" s="75"/>
      <c r="CP970" s="75"/>
      <c r="CQ970" s="75"/>
      <c r="CR970" s="75"/>
      <c r="CS970" s="75"/>
    </row>
    <row r="971" spans="1:97" ht="12.75" customHeight="1">
      <c r="A971" s="65"/>
      <c r="B971" s="128"/>
      <c r="C971" s="884" t="s">
        <v>662</v>
      </c>
      <c r="D971" s="1648" t="s">
        <v>2169</v>
      </c>
      <c r="E971" s="1649"/>
      <c r="F971" s="1649"/>
      <c r="G971" s="1649"/>
      <c r="H971" s="1649"/>
      <c r="I971" s="1649"/>
      <c r="J971" s="1649"/>
      <c r="K971" s="1649"/>
      <c r="L971" s="1649"/>
      <c r="M971" s="1649"/>
      <c r="N971" s="1649"/>
      <c r="O971" s="1649"/>
      <c r="P971" s="1649"/>
      <c r="Q971" s="1649"/>
      <c r="R971" s="1649"/>
      <c r="S971" s="1649"/>
      <c r="T971" s="1649"/>
      <c r="U971" s="1649"/>
      <c r="V971" s="1649"/>
      <c r="W971" s="1649"/>
      <c r="X971" s="1649"/>
      <c r="Y971" s="1649"/>
      <c r="Z971" s="1649"/>
      <c r="AA971" s="1649"/>
      <c r="AB971" s="1649"/>
      <c r="AC971" s="1649"/>
      <c r="AD971" s="1649"/>
      <c r="AE971" s="1650"/>
      <c r="AF971" s="128"/>
      <c r="AG971" s="1651" t="s">
        <v>119</v>
      </c>
      <c r="AH971" s="1652"/>
      <c r="AI971" s="131"/>
      <c r="AJ971" s="1653">
        <f>IF(AG971="yes",AJ951*AY930,0)</f>
        <v>482399.64</v>
      </c>
      <c r="AK971" s="1654"/>
      <c r="AL971" s="1654"/>
      <c r="AM971" s="1654"/>
      <c r="AN971" s="1654"/>
      <c r="AO971" s="1654"/>
      <c r="AP971" s="1654"/>
      <c r="AQ971" s="1655"/>
      <c r="AR971" s="75"/>
      <c r="AS971" s="75"/>
      <c r="AT971" s="75"/>
      <c r="AU971" s="75"/>
      <c r="AV971" s="75"/>
      <c r="AW971" s="75"/>
      <c r="AX971" s="75"/>
      <c r="AY971" s="75"/>
      <c r="AZ971" s="75"/>
      <c r="BA971" s="75"/>
      <c r="BB971" s="75"/>
      <c r="BC971" s="75"/>
      <c r="BD971" s="75"/>
      <c r="BE971" s="75"/>
      <c r="BF971" s="75"/>
      <c r="BG971" s="75"/>
      <c r="BH971" s="75"/>
      <c r="BI971" s="75"/>
      <c r="BJ971" s="75"/>
      <c r="BK971" s="75"/>
      <c r="BL971" s="75"/>
      <c r="BM971" s="75"/>
      <c r="BN971" s="75"/>
      <c r="BO971" s="75"/>
      <c r="BP971" s="75"/>
      <c r="BQ971" s="75"/>
      <c r="BR971" s="75"/>
      <c r="BS971" s="75"/>
      <c r="BT971" s="75"/>
      <c r="BU971" s="75"/>
      <c r="BV971" s="75"/>
      <c r="BW971" s="75"/>
      <c r="BX971" s="75"/>
      <c r="BY971" s="75"/>
      <c r="BZ971" s="75"/>
      <c r="CA971" s="75"/>
      <c r="CB971" s="75"/>
      <c r="CC971" s="75"/>
      <c r="CD971" s="75"/>
      <c r="CE971" s="75"/>
      <c r="CF971" s="75"/>
      <c r="CG971" s="75"/>
      <c r="CH971" s="75"/>
      <c r="CI971" s="75"/>
      <c r="CJ971" s="75"/>
      <c r="CK971" s="75"/>
      <c r="CL971" s="75"/>
      <c r="CM971" s="75"/>
      <c r="CN971" s="75"/>
      <c r="CO971" s="75"/>
      <c r="CP971" s="75"/>
      <c r="CQ971" s="75"/>
      <c r="CR971" s="75"/>
      <c r="CS971" s="75"/>
    </row>
    <row r="972" spans="1:97" ht="13.2">
      <c r="A972" s="65"/>
      <c r="B972" s="124"/>
      <c r="C972" s="885"/>
      <c r="D972" s="1662" t="s">
        <v>2304</v>
      </c>
      <c r="E972" s="1663"/>
      <c r="F972" s="1663"/>
      <c r="G972" s="1663"/>
      <c r="H972" s="1663"/>
      <c r="I972" s="1663"/>
      <c r="J972" s="1663"/>
      <c r="K972" s="1663"/>
      <c r="L972" s="1663"/>
      <c r="M972" s="1663"/>
      <c r="N972" s="1663"/>
      <c r="O972" s="1663"/>
      <c r="P972" s="1663"/>
      <c r="Q972" s="1663"/>
      <c r="R972" s="1663"/>
      <c r="S972" s="1663"/>
      <c r="T972" s="1663"/>
      <c r="U972" s="1663"/>
      <c r="V972" s="1663"/>
      <c r="W972" s="1663"/>
      <c r="X972" s="1663"/>
      <c r="Y972" s="1663"/>
      <c r="Z972" s="1663"/>
      <c r="AA972" s="1663"/>
      <c r="AB972" s="1663"/>
      <c r="AC972" s="1663"/>
      <c r="AD972" s="1663"/>
      <c r="AE972" s="1664"/>
      <c r="AF972" s="124"/>
      <c r="AG972" s="125"/>
      <c r="AH972" s="125"/>
      <c r="AI972" s="129"/>
      <c r="AJ972" s="1656"/>
      <c r="AK972" s="1657"/>
      <c r="AL972" s="1657"/>
      <c r="AM972" s="1657"/>
      <c r="AN972" s="1657"/>
      <c r="AO972" s="1657"/>
      <c r="AP972" s="1657"/>
      <c r="AQ972" s="1658"/>
      <c r="AR972" s="75"/>
      <c r="AS972" s="75"/>
      <c r="AT972" s="75"/>
      <c r="AU972" s="75"/>
      <c r="AV972" s="75"/>
      <c r="AW972" s="75"/>
      <c r="AX972" s="75"/>
      <c r="AY972" s="75"/>
      <c r="AZ972" s="75"/>
      <c r="BA972" s="75"/>
      <c r="BB972" s="75"/>
      <c r="BC972" s="75"/>
      <c r="BD972" s="75"/>
      <c r="BE972" s="75"/>
      <c r="BF972" s="75"/>
      <c r="BG972" s="75"/>
      <c r="BH972" s="75"/>
      <c r="BI972" s="75"/>
      <c r="BJ972" s="75"/>
      <c r="BK972" s="75"/>
      <c r="BL972" s="75"/>
      <c r="BM972" s="75"/>
      <c r="BN972" s="75"/>
      <c r="BO972" s="75"/>
      <c r="BP972" s="75"/>
      <c r="BQ972" s="75"/>
      <c r="BR972" s="75"/>
      <c r="BS972" s="75"/>
      <c r="BT972" s="75"/>
      <c r="BU972" s="75"/>
      <c r="BV972" s="75"/>
      <c r="BW972" s="75"/>
      <c r="BX972" s="75"/>
      <c r="BY972" s="75"/>
      <c r="BZ972" s="75"/>
      <c r="CA972" s="75"/>
      <c r="CB972" s="75"/>
      <c r="CC972" s="75"/>
      <c r="CD972" s="75"/>
      <c r="CE972" s="75"/>
      <c r="CF972" s="75"/>
      <c r="CG972" s="75"/>
      <c r="CH972" s="75"/>
      <c r="CI972" s="75"/>
      <c r="CJ972" s="75"/>
      <c r="CK972" s="75"/>
      <c r="CL972" s="75"/>
      <c r="CM972" s="75"/>
      <c r="CN972" s="75"/>
      <c r="CO972" s="75"/>
      <c r="CP972" s="75"/>
      <c r="CQ972" s="75"/>
      <c r="CR972" s="75"/>
      <c r="CS972" s="75"/>
    </row>
    <row r="973" spans="1:97" ht="12.75" customHeight="1">
      <c r="A973" s="65"/>
      <c r="B973" s="124"/>
      <c r="C973" s="885"/>
      <c r="D973" s="1662"/>
      <c r="E973" s="1663"/>
      <c r="F973" s="1663"/>
      <c r="G973" s="1663"/>
      <c r="H973" s="1663"/>
      <c r="I973" s="1663"/>
      <c r="J973" s="1663"/>
      <c r="K973" s="1663"/>
      <c r="L973" s="1663"/>
      <c r="M973" s="1663"/>
      <c r="N973" s="1663"/>
      <c r="O973" s="1663"/>
      <c r="P973" s="1663"/>
      <c r="Q973" s="1663"/>
      <c r="R973" s="1663"/>
      <c r="S973" s="1663"/>
      <c r="T973" s="1663"/>
      <c r="U973" s="1663"/>
      <c r="V973" s="1663"/>
      <c r="W973" s="1663"/>
      <c r="X973" s="1663"/>
      <c r="Y973" s="1663"/>
      <c r="Z973" s="1663"/>
      <c r="AA973" s="1663"/>
      <c r="AB973" s="1663"/>
      <c r="AC973" s="1663"/>
      <c r="AD973" s="1663"/>
      <c r="AE973" s="1664"/>
      <c r="AF973" s="124"/>
      <c r="AG973" s="125"/>
      <c r="AH973" s="125"/>
      <c r="AI973" s="129"/>
      <c r="AJ973" s="1656"/>
      <c r="AK973" s="1657"/>
      <c r="AL973" s="1657"/>
      <c r="AM973" s="1657"/>
      <c r="AN973" s="1657"/>
      <c r="AO973" s="1657"/>
      <c r="AP973" s="1657"/>
      <c r="AQ973" s="1658"/>
      <c r="AR973" s="75"/>
      <c r="AS973" s="75"/>
      <c r="AT973" s="75"/>
      <c r="AU973" s="75"/>
      <c r="AV973" s="75"/>
      <c r="AW973" s="75"/>
      <c r="AX973" s="75"/>
      <c r="AY973" s="75"/>
      <c r="AZ973" s="75"/>
      <c r="BA973" s="75"/>
      <c r="BB973" s="75"/>
      <c r="BC973" s="75"/>
      <c r="BD973" s="75"/>
      <c r="BE973" s="75"/>
      <c r="BF973" s="75"/>
      <c r="BG973" s="75"/>
      <c r="BH973" s="75"/>
      <c r="BI973" s="75"/>
      <c r="BJ973" s="75"/>
      <c r="BK973" s="75"/>
      <c r="BL973" s="75"/>
      <c r="BM973" s="75"/>
      <c r="BN973" s="75"/>
      <c r="BO973" s="75"/>
      <c r="BP973" s="75"/>
      <c r="BQ973" s="75"/>
      <c r="BR973" s="75"/>
      <c r="BS973" s="75"/>
      <c r="BT973" s="75"/>
      <c r="BU973" s="75"/>
      <c r="BV973" s="75"/>
      <c r="BW973" s="75"/>
      <c r="BX973" s="75"/>
      <c r="BY973" s="75"/>
      <c r="BZ973" s="75"/>
      <c r="CA973" s="75"/>
      <c r="CB973" s="75"/>
      <c r="CC973" s="75"/>
      <c r="CD973" s="75"/>
      <c r="CE973" s="75"/>
      <c r="CF973" s="75"/>
      <c r="CG973" s="75"/>
      <c r="CH973" s="75"/>
      <c r="CI973" s="75"/>
      <c r="CJ973" s="75"/>
      <c r="CK973" s="75"/>
      <c r="CL973" s="75"/>
      <c r="CM973" s="75"/>
      <c r="CN973" s="75"/>
      <c r="CO973" s="75"/>
      <c r="CP973" s="75"/>
      <c r="CQ973" s="75"/>
      <c r="CR973" s="75"/>
      <c r="CS973" s="75"/>
    </row>
    <row r="974" spans="1:97" ht="13.2">
      <c r="A974" s="65"/>
      <c r="B974" s="1478"/>
      <c r="C974" s="1474"/>
      <c r="D974" s="1665"/>
      <c r="E974" s="1666"/>
      <c r="F974" s="1666"/>
      <c r="G974" s="1666"/>
      <c r="H974" s="1666"/>
      <c r="I974" s="1666"/>
      <c r="J974" s="1666"/>
      <c r="K974" s="1666"/>
      <c r="L974" s="1666"/>
      <c r="M974" s="1666"/>
      <c r="N974" s="1666"/>
      <c r="O974" s="1666"/>
      <c r="P974" s="1666"/>
      <c r="Q974" s="1666"/>
      <c r="R974" s="1666"/>
      <c r="S974" s="1666"/>
      <c r="T974" s="1666"/>
      <c r="U974" s="1666"/>
      <c r="V974" s="1666"/>
      <c r="W974" s="1666"/>
      <c r="X974" s="1666"/>
      <c r="Y974" s="1666"/>
      <c r="Z974" s="1666"/>
      <c r="AA974" s="1666"/>
      <c r="AB974" s="1666"/>
      <c r="AC974" s="1666"/>
      <c r="AD974" s="1666"/>
      <c r="AE974" s="1667"/>
      <c r="AF974" s="126"/>
      <c r="AG974" s="15"/>
      <c r="AH974" s="15"/>
      <c r="AI974" s="127"/>
      <c r="AJ974" s="1659"/>
      <c r="AK974" s="1660"/>
      <c r="AL974" s="1660"/>
      <c r="AM974" s="1660"/>
      <c r="AN974" s="1660"/>
      <c r="AO974" s="1660"/>
      <c r="AP974" s="1660"/>
      <c r="AQ974" s="1661"/>
      <c r="AR974" s="75"/>
      <c r="AS974" s="75"/>
      <c r="AT974" s="75"/>
      <c r="AU974" s="75"/>
      <c r="AV974" s="75"/>
      <c r="AW974" s="75"/>
      <c r="AX974" s="75"/>
      <c r="AY974" s="75"/>
      <c r="AZ974" s="75"/>
      <c r="BA974" s="75"/>
      <c r="BB974" s="75"/>
      <c r="BC974" s="75"/>
      <c r="BD974" s="75"/>
      <c r="BE974" s="75"/>
      <c r="BF974" s="75"/>
      <c r="BG974" s="75"/>
      <c r="BH974" s="75"/>
      <c r="BI974" s="75"/>
      <c r="BJ974" s="75"/>
      <c r="BK974" s="75"/>
      <c r="BL974" s="75"/>
      <c r="BM974" s="75"/>
      <c r="BN974" s="75"/>
      <c r="BO974" s="75"/>
      <c r="BP974" s="75"/>
      <c r="BQ974" s="75"/>
      <c r="BR974" s="75"/>
      <c r="BS974" s="75"/>
      <c r="BT974" s="75"/>
      <c r="BU974" s="75"/>
      <c r="BV974" s="75"/>
      <c r="BW974" s="75"/>
      <c r="BX974" s="75"/>
      <c r="BY974" s="75"/>
      <c r="BZ974" s="75"/>
      <c r="CA974" s="75"/>
      <c r="CB974" s="75"/>
      <c r="CC974" s="75"/>
      <c r="CD974" s="75"/>
      <c r="CE974" s="75"/>
      <c r="CF974" s="75"/>
      <c r="CG974" s="75"/>
      <c r="CH974" s="75"/>
      <c r="CI974" s="75"/>
      <c r="CJ974" s="75"/>
      <c r="CK974" s="75"/>
      <c r="CL974" s="75"/>
      <c r="CM974" s="75"/>
      <c r="CN974" s="75"/>
      <c r="CO974" s="75"/>
      <c r="CP974" s="75"/>
      <c r="CQ974" s="75"/>
      <c r="CR974" s="75"/>
      <c r="CS974" s="75"/>
    </row>
    <row r="975" spans="1:97" ht="12.75" customHeight="1">
      <c r="A975" s="65"/>
      <c r="B975" s="128"/>
      <c r="C975" s="884" t="s">
        <v>667</v>
      </c>
      <c r="D975" s="1722" t="s">
        <v>2170</v>
      </c>
      <c r="E975" s="1723"/>
      <c r="F975" s="1723"/>
      <c r="G975" s="1723"/>
      <c r="H975" s="1723"/>
      <c r="I975" s="1723"/>
      <c r="J975" s="1723"/>
      <c r="K975" s="1723"/>
      <c r="L975" s="1723"/>
      <c r="M975" s="1723"/>
      <c r="N975" s="1723"/>
      <c r="O975" s="1723"/>
      <c r="P975" s="1723"/>
      <c r="Q975" s="1723"/>
      <c r="R975" s="1723"/>
      <c r="S975" s="1723"/>
      <c r="T975" s="1723"/>
      <c r="U975" s="1723"/>
      <c r="V975" s="1723"/>
      <c r="W975" s="1723"/>
      <c r="X975" s="1723"/>
      <c r="Y975" s="1723"/>
      <c r="Z975" s="1723"/>
      <c r="AA975" s="1723"/>
      <c r="AB975" s="1723"/>
      <c r="AC975" s="1723"/>
      <c r="AD975" s="1723"/>
      <c r="AE975" s="1724"/>
      <c r="AF975" s="128"/>
      <c r="AG975" s="1651" t="s">
        <v>531</v>
      </c>
      <c r="AH975" s="1652"/>
      <c r="AI975" s="131"/>
      <c r="AJ975" s="1693"/>
      <c r="AK975" s="1694"/>
      <c r="AL975" s="1694"/>
      <c r="AM975" s="1694"/>
      <c r="AN975" s="1694"/>
      <c r="AO975" s="1694"/>
      <c r="AP975" s="1694"/>
      <c r="AQ975" s="1695"/>
      <c r="AR975" s="75"/>
      <c r="AS975" s="75"/>
      <c r="AT975" s="75"/>
      <c r="AU975" s="75"/>
      <c r="AV975" s="75"/>
      <c r="AW975" s="75"/>
      <c r="AX975" s="75"/>
      <c r="AY975" s="75"/>
      <c r="AZ975" s="75"/>
      <c r="BA975" s="75"/>
      <c r="BB975" s="75"/>
      <c r="BC975" s="75"/>
      <c r="BD975" s="75"/>
      <c r="BE975" s="75"/>
      <c r="BF975" s="75"/>
      <c r="BG975" s="75"/>
      <c r="BH975" s="75"/>
      <c r="BI975" s="75"/>
      <c r="BJ975" s="75"/>
      <c r="BK975" s="75"/>
      <c r="BL975" s="75"/>
      <c r="BM975" s="75"/>
      <c r="BN975" s="75"/>
      <c r="BO975" s="75"/>
      <c r="BP975" s="75"/>
      <c r="BQ975" s="75"/>
      <c r="BR975" s="75"/>
      <c r="BS975" s="75"/>
      <c r="BT975" s="75"/>
      <c r="BU975" s="75"/>
      <c r="BV975" s="75"/>
      <c r="BW975" s="75"/>
      <c r="BX975" s="75"/>
      <c r="BY975" s="75"/>
      <c r="BZ975" s="75"/>
      <c r="CA975" s="75"/>
      <c r="CB975" s="75"/>
      <c r="CC975" s="75"/>
      <c r="CD975" s="75"/>
      <c r="CE975" s="75"/>
      <c r="CF975" s="75"/>
      <c r="CG975" s="75"/>
      <c r="CH975" s="75"/>
      <c r="CI975" s="75"/>
      <c r="CJ975" s="75"/>
      <c r="CK975" s="75"/>
      <c r="CL975" s="75"/>
      <c r="CM975" s="75"/>
      <c r="CN975" s="75"/>
      <c r="CO975" s="75"/>
      <c r="CP975" s="75"/>
      <c r="CQ975" s="75"/>
      <c r="CR975" s="75"/>
      <c r="CS975" s="75"/>
    </row>
    <row r="976" spans="1:97" ht="12.75" customHeight="1">
      <c r="A976" s="65"/>
      <c r="B976" s="1478"/>
      <c r="C976" s="1479"/>
      <c r="D976" s="1725"/>
      <c r="E976" s="1726"/>
      <c r="F976" s="1726"/>
      <c r="G976" s="1726"/>
      <c r="H976" s="1726"/>
      <c r="I976" s="1726"/>
      <c r="J976" s="1726"/>
      <c r="K976" s="1726"/>
      <c r="L976" s="1726"/>
      <c r="M976" s="1726"/>
      <c r="N976" s="1726"/>
      <c r="O976" s="1726"/>
      <c r="P976" s="1726"/>
      <c r="Q976" s="1726"/>
      <c r="R976" s="1726"/>
      <c r="S976" s="1726"/>
      <c r="T976" s="1726"/>
      <c r="U976" s="1726"/>
      <c r="V976" s="1726"/>
      <c r="W976" s="1726"/>
      <c r="X976" s="1726"/>
      <c r="Y976" s="1726"/>
      <c r="Z976" s="1726"/>
      <c r="AA976" s="1726"/>
      <c r="AB976" s="1726"/>
      <c r="AC976" s="1726"/>
      <c r="AD976" s="1726"/>
      <c r="AE976" s="1727"/>
      <c r="AF976" s="1728">
        <f>IF(AG975="yes","Please Select Type and Enter Amount:",0)</f>
        <v>0</v>
      </c>
      <c r="AG976" s="1729"/>
      <c r="AH976" s="1729"/>
      <c r="AI976" s="1730"/>
      <c r="AJ976" s="1696"/>
      <c r="AK976" s="1697"/>
      <c r="AL976" s="1697"/>
      <c r="AM976" s="1697"/>
      <c r="AN976" s="1697"/>
      <c r="AO976" s="1697"/>
      <c r="AP976" s="1697"/>
      <c r="AQ976" s="1698"/>
      <c r="AR976" s="75"/>
      <c r="AS976" s="75"/>
      <c r="AT976" s="75"/>
      <c r="AU976" s="75"/>
      <c r="AV976" s="75"/>
      <c r="AW976" s="75"/>
      <c r="AX976" s="75"/>
      <c r="AY976" s="75"/>
      <c r="AZ976" s="75"/>
      <c r="BA976" s="75"/>
      <c r="BB976" s="75"/>
      <c r="BC976" s="75"/>
      <c r="BD976" s="75"/>
      <c r="BE976" s="75"/>
      <c r="BF976" s="75"/>
      <c r="BG976" s="75"/>
      <c r="BH976" s="75"/>
      <c r="BI976" s="75"/>
      <c r="BJ976" s="75"/>
      <c r="BK976" s="75"/>
      <c r="BL976" s="75"/>
      <c r="BM976" s="75"/>
      <c r="BN976" s="75"/>
      <c r="BO976" s="75"/>
      <c r="BP976" s="75"/>
      <c r="BQ976" s="75"/>
      <c r="BR976" s="75"/>
      <c r="BS976" s="75"/>
      <c r="BT976" s="75"/>
      <c r="BU976" s="75"/>
      <c r="BV976" s="75"/>
      <c r="BW976" s="75"/>
      <c r="BX976" s="75"/>
      <c r="BY976" s="75"/>
      <c r="BZ976" s="75"/>
      <c r="CA976" s="75"/>
      <c r="CB976" s="75"/>
      <c r="CC976" s="75"/>
      <c r="CD976" s="75"/>
      <c r="CE976" s="75"/>
      <c r="CF976" s="75"/>
      <c r="CG976" s="75"/>
      <c r="CH976" s="75"/>
      <c r="CI976" s="75"/>
      <c r="CJ976" s="75"/>
      <c r="CK976" s="75"/>
      <c r="CL976" s="75"/>
      <c r="CM976" s="75"/>
      <c r="CN976" s="75"/>
      <c r="CO976" s="75"/>
      <c r="CP976" s="75"/>
      <c r="CQ976" s="75"/>
      <c r="CR976" s="75"/>
      <c r="CS976" s="75"/>
    </row>
    <row r="977" spans="1:97" ht="12.75" customHeight="1">
      <c r="A977" s="65"/>
      <c r="B977" s="1478"/>
      <c r="C977" s="1479"/>
      <c r="D977" s="1662" t="s">
        <v>2171</v>
      </c>
      <c r="E977" s="1663"/>
      <c r="F977" s="1663"/>
      <c r="G977" s="1663"/>
      <c r="H977" s="1663"/>
      <c r="I977" s="1663"/>
      <c r="J977" s="1663"/>
      <c r="K977" s="1663"/>
      <c r="L977" s="1663"/>
      <c r="M977" s="1663"/>
      <c r="N977" s="1663"/>
      <c r="O977" s="1663"/>
      <c r="P977" s="1663"/>
      <c r="Q977" s="1663"/>
      <c r="R977" s="1663"/>
      <c r="S977" s="1663"/>
      <c r="T977" s="1663"/>
      <c r="U977" s="1663"/>
      <c r="V977" s="1663"/>
      <c r="W977" s="1663"/>
      <c r="X977" s="1663"/>
      <c r="Y977" s="1663"/>
      <c r="Z977" s="1663"/>
      <c r="AA977" s="1663"/>
      <c r="AB977" s="1663"/>
      <c r="AC977" s="1663"/>
      <c r="AD977" s="1663"/>
      <c r="AE977" s="1664"/>
      <c r="AF977" s="1728"/>
      <c r="AG977" s="1729"/>
      <c r="AH977" s="1729"/>
      <c r="AI977" s="1730"/>
      <c r="AJ977" s="1696"/>
      <c r="AK977" s="1697"/>
      <c r="AL977" s="1697"/>
      <c r="AM977" s="1697"/>
      <c r="AN977" s="1697"/>
      <c r="AO977" s="1697"/>
      <c r="AP977" s="1697"/>
      <c r="AQ977" s="1698"/>
      <c r="AR977" s="75"/>
      <c r="AS977" s="75"/>
      <c r="AT977" s="75"/>
      <c r="AU977" s="75"/>
      <c r="AV977" s="75"/>
      <c r="AW977" s="75"/>
      <c r="AX977" s="75"/>
      <c r="AY977" s="75"/>
      <c r="AZ977" s="75"/>
      <c r="BA977" s="75"/>
      <c r="BB977" s="75"/>
      <c r="BC977" s="75"/>
      <c r="BD977" s="75"/>
      <c r="BE977" s="75"/>
      <c r="BF977" s="75"/>
      <c r="BG977" s="75"/>
      <c r="BH977" s="75"/>
      <c r="BI977" s="75"/>
      <c r="BJ977" s="75"/>
      <c r="BK977" s="75"/>
      <c r="BL977" s="75"/>
      <c r="BM977" s="75"/>
      <c r="BN977" s="75"/>
      <c r="BO977" s="75"/>
      <c r="BP977" s="75"/>
      <c r="BQ977" s="75"/>
      <c r="BR977" s="75"/>
      <c r="BS977" s="75"/>
      <c r="BT977" s="75"/>
      <c r="BU977" s="75"/>
      <c r="BV977" s="75"/>
      <c r="BW977" s="75"/>
      <c r="BX977" s="75"/>
      <c r="BY977" s="75"/>
      <c r="BZ977" s="75"/>
      <c r="CA977" s="75"/>
      <c r="CB977" s="75"/>
      <c r="CC977" s="75"/>
      <c r="CD977" s="75"/>
      <c r="CE977" s="75"/>
      <c r="CF977" s="75"/>
      <c r="CG977" s="75"/>
      <c r="CH977" s="75"/>
      <c r="CI977" s="75"/>
      <c r="CJ977" s="75"/>
      <c r="CK977" s="75"/>
      <c r="CL977" s="75"/>
      <c r="CM977" s="75"/>
      <c r="CN977" s="75"/>
      <c r="CO977" s="75"/>
      <c r="CP977" s="75"/>
      <c r="CQ977" s="75"/>
      <c r="CR977" s="75"/>
      <c r="CS977" s="75"/>
    </row>
    <row r="978" spans="1:97" ht="12.75" customHeight="1">
      <c r="A978" s="65"/>
      <c r="B978" s="1478"/>
      <c r="C978" s="1479"/>
      <c r="D978" s="1662"/>
      <c r="E978" s="1663"/>
      <c r="F978" s="1663"/>
      <c r="G978" s="1663"/>
      <c r="H978" s="1663"/>
      <c r="I978" s="1663"/>
      <c r="J978" s="1663"/>
      <c r="K978" s="1663"/>
      <c r="L978" s="1663"/>
      <c r="M978" s="1663"/>
      <c r="N978" s="1663"/>
      <c r="O978" s="1663"/>
      <c r="P978" s="1663"/>
      <c r="Q978" s="1663"/>
      <c r="R978" s="1663"/>
      <c r="S978" s="1663"/>
      <c r="T978" s="1663"/>
      <c r="U978" s="1663"/>
      <c r="V978" s="1663"/>
      <c r="W978" s="1663"/>
      <c r="X978" s="1663"/>
      <c r="Y978" s="1663"/>
      <c r="Z978" s="1663"/>
      <c r="AA978" s="1663"/>
      <c r="AB978" s="1663"/>
      <c r="AC978" s="1663"/>
      <c r="AD978" s="1663"/>
      <c r="AE978" s="1664"/>
      <c r="AF978" s="1728"/>
      <c r="AG978" s="1729"/>
      <c r="AH978" s="1729"/>
      <c r="AI978" s="1730"/>
      <c r="AJ978" s="1696"/>
      <c r="AK978" s="1697"/>
      <c r="AL978" s="1697"/>
      <c r="AM978" s="1697"/>
      <c r="AN978" s="1697"/>
      <c r="AO978" s="1697"/>
      <c r="AP978" s="1697"/>
      <c r="AQ978" s="1698"/>
      <c r="AR978" s="75"/>
      <c r="AS978" s="75"/>
      <c r="AT978" s="75"/>
      <c r="AU978" s="75"/>
      <c r="AV978" s="75"/>
      <c r="AW978" s="75"/>
      <c r="AX978" s="75"/>
      <c r="AY978" s="75"/>
      <c r="AZ978" s="75"/>
      <c r="BA978" s="75"/>
      <c r="BB978" s="75"/>
      <c r="BC978" s="75"/>
      <c r="BD978" s="75"/>
      <c r="BE978" s="75"/>
      <c r="BF978" s="75"/>
      <c r="BG978" s="75"/>
      <c r="BH978" s="75"/>
      <c r="BI978" s="75"/>
      <c r="BJ978" s="75"/>
      <c r="BK978" s="75"/>
      <c r="BL978" s="75"/>
      <c r="BM978" s="75"/>
      <c r="BN978" s="75"/>
      <c r="BO978" s="75"/>
      <c r="BP978" s="75"/>
      <c r="BQ978" s="75"/>
      <c r="BR978" s="75"/>
      <c r="BS978" s="75"/>
      <c r="BT978" s="75"/>
      <c r="BU978" s="75"/>
      <c r="BV978" s="75"/>
      <c r="BW978" s="75"/>
      <c r="BX978" s="75"/>
      <c r="BY978" s="75"/>
      <c r="BZ978" s="75"/>
      <c r="CA978" s="75"/>
      <c r="CB978" s="75"/>
      <c r="CC978" s="75"/>
      <c r="CD978" s="75"/>
      <c r="CE978" s="75"/>
      <c r="CF978" s="75"/>
      <c r="CG978" s="75"/>
      <c r="CH978" s="75"/>
      <c r="CI978" s="75"/>
      <c r="CJ978" s="75"/>
      <c r="CK978" s="75"/>
      <c r="CL978" s="75"/>
      <c r="CM978" s="75"/>
      <c r="CN978" s="75"/>
      <c r="CO978" s="75"/>
      <c r="CP978" s="75"/>
      <c r="CQ978" s="75"/>
      <c r="CR978" s="75"/>
      <c r="CS978" s="75"/>
    </row>
    <row r="979" spans="1:97" ht="12.75" customHeight="1">
      <c r="A979" s="65"/>
      <c r="B979" s="1478"/>
      <c r="C979" s="1479"/>
      <c r="D979" s="1480" t="s">
        <v>982</v>
      </c>
      <c r="E979" s="141"/>
      <c r="F979" s="141"/>
      <c r="G979" s="646"/>
      <c r="H979" s="646"/>
      <c r="I979" s="95"/>
      <c r="J979" s="1734" t="s">
        <v>136</v>
      </c>
      <c r="K979" s="1735"/>
      <c r="L979" s="1735"/>
      <c r="M979" s="1735"/>
      <c r="N979" s="1735"/>
      <c r="O979" s="1735"/>
      <c r="P979" s="1735"/>
      <c r="Q979" s="1735"/>
      <c r="R979" s="1735"/>
      <c r="S979" s="1735"/>
      <c r="T979" s="1735"/>
      <c r="U979" s="1735"/>
      <c r="V979" s="1735"/>
      <c r="W979" s="1735"/>
      <c r="X979" s="1735"/>
      <c r="Y979" s="1735"/>
      <c r="Z979" s="1735"/>
      <c r="AA979" s="1735"/>
      <c r="AB979" s="1735"/>
      <c r="AC979" s="1735"/>
      <c r="AD979" s="1735"/>
      <c r="AE979" s="1736"/>
      <c r="AF979" s="1731"/>
      <c r="AG979" s="1732"/>
      <c r="AH979" s="1732"/>
      <c r="AI979" s="1733"/>
      <c r="AJ979" s="1699"/>
      <c r="AK979" s="1700"/>
      <c r="AL979" s="1700"/>
      <c r="AM979" s="1700"/>
      <c r="AN979" s="1700"/>
      <c r="AO979" s="1700"/>
      <c r="AP979" s="1700"/>
      <c r="AQ979" s="1701"/>
      <c r="AR979" s="75"/>
      <c r="AS979" s="75"/>
      <c r="AT979" s="75"/>
      <c r="AU979" s="75"/>
      <c r="AV979" s="75"/>
      <c r="AW979" s="75"/>
      <c r="AX979" s="75"/>
      <c r="AY979" s="75"/>
      <c r="AZ979" s="75"/>
      <c r="BA979" s="75"/>
      <c r="BB979" s="75"/>
      <c r="BC979" s="75"/>
      <c r="BD979" s="75"/>
      <c r="BE979" s="75"/>
      <c r="BF979" s="75"/>
      <c r="BG979" s="75"/>
      <c r="BH979" s="75"/>
      <c r="BI979" s="75"/>
      <c r="BJ979" s="75"/>
      <c r="BK979" s="75"/>
      <c r="BL979" s="75"/>
      <c r="BM979" s="75"/>
      <c r="BN979" s="75"/>
      <c r="BO979" s="75"/>
      <c r="BP979" s="75"/>
      <c r="BQ979" s="75"/>
      <c r="BR979" s="75"/>
      <c r="BS979" s="75"/>
      <c r="BT979" s="75"/>
      <c r="BU979" s="75"/>
      <c r="BV979" s="75"/>
      <c r="BW979" s="75"/>
      <c r="BX979" s="75"/>
      <c r="BY979" s="75"/>
      <c r="BZ979" s="75"/>
      <c r="CA979" s="75"/>
      <c r="CB979" s="75"/>
      <c r="CC979" s="75"/>
      <c r="CD979" s="75"/>
      <c r="CE979" s="75"/>
      <c r="CF979" s="75"/>
      <c r="CG979" s="75"/>
      <c r="CH979" s="75"/>
      <c r="CI979" s="75"/>
      <c r="CJ979" s="75"/>
      <c r="CK979" s="75"/>
      <c r="CL979" s="75"/>
      <c r="CM979" s="75"/>
      <c r="CN979" s="75"/>
      <c r="CO979" s="75"/>
      <c r="CP979" s="75"/>
      <c r="CQ979" s="75"/>
      <c r="CR979" s="75"/>
      <c r="CS979" s="75"/>
    </row>
    <row r="980" spans="1:97" ht="12.75" customHeight="1">
      <c r="A980" s="65"/>
      <c r="B980" s="128"/>
      <c r="C980" s="884" t="s">
        <v>633</v>
      </c>
      <c r="D980" s="1668" t="s">
        <v>2172</v>
      </c>
      <c r="E980" s="1669"/>
      <c r="F980" s="1669"/>
      <c r="G980" s="1669"/>
      <c r="H980" s="1669"/>
      <c r="I980" s="1669"/>
      <c r="J980" s="1669"/>
      <c r="K980" s="1669"/>
      <c r="L980" s="1669"/>
      <c r="M980" s="1669"/>
      <c r="N980" s="1669"/>
      <c r="O980" s="1669"/>
      <c r="P980" s="1669"/>
      <c r="Q980" s="1669"/>
      <c r="R980" s="1669"/>
      <c r="S980" s="1669"/>
      <c r="T980" s="1669"/>
      <c r="U980" s="1669"/>
      <c r="V980" s="1669"/>
      <c r="W980" s="1669"/>
      <c r="X980" s="1669"/>
      <c r="Y980" s="1669"/>
      <c r="Z980" s="1669"/>
      <c r="AA980" s="1669"/>
      <c r="AB980" s="1669"/>
      <c r="AC980" s="1669"/>
      <c r="AD980" s="1669"/>
      <c r="AE980" s="1670"/>
      <c r="AF980" s="128"/>
      <c r="AG980" s="1651" t="s">
        <v>119</v>
      </c>
      <c r="AH980" s="1652"/>
      <c r="AI980" s="131"/>
      <c r="AJ980" s="1693">
        <f>'Sources and Uses Budget'!B84</f>
        <v>411125</v>
      </c>
      <c r="AK980" s="1694"/>
      <c r="AL980" s="1694"/>
      <c r="AM980" s="1694"/>
      <c r="AN980" s="1694"/>
      <c r="AO980" s="1694"/>
      <c r="AP980" s="1694"/>
      <c r="AQ980" s="1695"/>
      <c r="AR980" s="75"/>
      <c r="AS980" s="75"/>
      <c r="AT980" s="75"/>
      <c r="AU980" s="75"/>
      <c r="AV980" s="75"/>
      <c r="AW980" s="75"/>
      <c r="AX980" s="75"/>
      <c r="AY980" s="75"/>
      <c r="AZ980" s="75"/>
      <c r="BA980" s="75"/>
      <c r="BB980" s="75"/>
      <c r="BC980" s="75"/>
      <c r="BD980" s="75"/>
      <c r="BE980" s="75"/>
      <c r="BF980" s="75"/>
      <c r="BG980" s="75"/>
      <c r="BH980" s="75"/>
      <c r="BI980" s="75"/>
      <c r="BJ980" s="75"/>
      <c r="BK980" s="75"/>
      <c r="BL980" s="75"/>
      <c r="BM980" s="75"/>
      <c r="BN980" s="75"/>
      <c r="BO980" s="75"/>
      <c r="BP980" s="75"/>
      <c r="BQ980" s="75"/>
      <c r="BR980" s="75"/>
      <c r="BS980" s="75"/>
      <c r="BT980" s="75"/>
      <c r="BU980" s="75"/>
      <c r="BV980" s="75"/>
      <c r="BW980" s="75"/>
      <c r="BX980" s="75"/>
      <c r="BY980" s="75"/>
      <c r="BZ980" s="75"/>
      <c r="CA980" s="75"/>
      <c r="CB980" s="75"/>
      <c r="CC980" s="75"/>
      <c r="CD980" s="75"/>
      <c r="CE980" s="75"/>
      <c r="CF980" s="75"/>
      <c r="CG980" s="75"/>
      <c r="CH980" s="75"/>
      <c r="CI980" s="75"/>
      <c r="CJ980" s="75"/>
      <c r="CK980" s="75"/>
      <c r="CL980" s="75"/>
      <c r="CM980" s="75"/>
      <c r="CN980" s="75"/>
      <c r="CO980" s="75"/>
      <c r="CP980" s="75"/>
      <c r="CQ980" s="75"/>
      <c r="CR980" s="75"/>
      <c r="CS980" s="75"/>
    </row>
    <row r="981" spans="1:97" ht="12.75" customHeight="1">
      <c r="A981" s="65"/>
      <c r="B981" s="124"/>
      <c r="C981" s="885"/>
      <c r="D981" s="1662" t="s">
        <v>2305</v>
      </c>
      <c r="E981" s="1663"/>
      <c r="F981" s="1663"/>
      <c r="G981" s="1663"/>
      <c r="H981" s="1663"/>
      <c r="I981" s="1663"/>
      <c r="J981" s="1663"/>
      <c r="K981" s="1663"/>
      <c r="L981" s="1663"/>
      <c r="M981" s="1663"/>
      <c r="N981" s="1663"/>
      <c r="O981" s="1663"/>
      <c r="P981" s="1663"/>
      <c r="Q981" s="1663"/>
      <c r="R981" s="1663"/>
      <c r="S981" s="1663"/>
      <c r="T981" s="1663"/>
      <c r="U981" s="1663"/>
      <c r="V981" s="1663"/>
      <c r="W981" s="1663"/>
      <c r="X981" s="1663"/>
      <c r="Y981" s="1663"/>
      <c r="Z981" s="1663"/>
      <c r="AA981" s="1663"/>
      <c r="AB981" s="1663"/>
      <c r="AC981" s="1663"/>
      <c r="AD981" s="1663"/>
      <c r="AE981" s="1664"/>
      <c r="AF981" s="1702" t="str">
        <f>IF(AG980="yes","Please Enter Amount:",0)</f>
        <v>Please Enter Amount:</v>
      </c>
      <c r="AG981" s="1703"/>
      <c r="AH981" s="1703"/>
      <c r="AI981" s="1704"/>
      <c r="AJ981" s="1696"/>
      <c r="AK981" s="1697"/>
      <c r="AL981" s="1697"/>
      <c r="AM981" s="1697"/>
      <c r="AN981" s="1697"/>
      <c r="AO981" s="1697"/>
      <c r="AP981" s="1697"/>
      <c r="AQ981" s="1698"/>
      <c r="AR981" s="75"/>
      <c r="AS981" s="75"/>
      <c r="AT981" s="75"/>
      <c r="AU981" s="75"/>
      <c r="AV981" s="75"/>
      <c r="AW981" s="75"/>
      <c r="AX981" s="75"/>
      <c r="AY981" s="75"/>
      <c r="AZ981" s="75"/>
      <c r="BA981" s="75"/>
      <c r="BB981" s="75"/>
      <c r="BC981" s="75"/>
      <c r="BD981" s="75"/>
      <c r="BE981" s="75"/>
      <c r="BF981" s="75"/>
      <c r="BG981" s="75"/>
      <c r="BH981" s="75"/>
      <c r="BI981" s="75"/>
      <c r="BJ981" s="75"/>
      <c r="BK981" s="75"/>
      <c r="BL981" s="75"/>
      <c r="BM981" s="75"/>
      <c r="BN981" s="75"/>
      <c r="BO981" s="75"/>
      <c r="BP981" s="75"/>
      <c r="BQ981" s="75"/>
      <c r="BR981" s="75"/>
      <c r="BS981" s="75"/>
      <c r="BT981" s="75"/>
      <c r="BU981" s="75"/>
      <c r="BV981" s="75"/>
      <c r="BW981" s="75"/>
      <c r="BX981" s="75"/>
      <c r="BY981" s="75"/>
      <c r="BZ981" s="75"/>
      <c r="CA981" s="75"/>
      <c r="CB981" s="75"/>
      <c r="CC981" s="75"/>
      <c r="CD981" s="75"/>
      <c r="CE981" s="75"/>
      <c r="CF981" s="75"/>
      <c r="CG981" s="75"/>
      <c r="CH981" s="75"/>
      <c r="CI981" s="75"/>
      <c r="CJ981" s="75"/>
      <c r="CK981" s="75"/>
      <c r="CL981" s="75"/>
      <c r="CM981" s="75"/>
      <c r="CN981" s="75"/>
      <c r="CO981" s="75"/>
      <c r="CP981" s="75"/>
      <c r="CQ981" s="75"/>
      <c r="CR981" s="75"/>
      <c r="CS981" s="75"/>
    </row>
    <row r="982" spans="1:97" ht="13.2">
      <c r="A982" s="65"/>
      <c r="B982" s="124"/>
      <c r="C982" s="885"/>
      <c r="D982" s="1662"/>
      <c r="E982" s="1663"/>
      <c r="F982" s="1663"/>
      <c r="G982" s="1663"/>
      <c r="H982" s="1663"/>
      <c r="I982" s="1663"/>
      <c r="J982" s="1663"/>
      <c r="K982" s="1663"/>
      <c r="L982" s="1663"/>
      <c r="M982" s="1663"/>
      <c r="N982" s="1663"/>
      <c r="O982" s="1663"/>
      <c r="P982" s="1663"/>
      <c r="Q982" s="1663"/>
      <c r="R982" s="1663"/>
      <c r="S982" s="1663"/>
      <c r="T982" s="1663"/>
      <c r="U982" s="1663"/>
      <c r="V982" s="1663"/>
      <c r="W982" s="1663"/>
      <c r="X982" s="1663"/>
      <c r="Y982" s="1663"/>
      <c r="Z982" s="1663"/>
      <c r="AA982" s="1663"/>
      <c r="AB982" s="1663"/>
      <c r="AC982" s="1663"/>
      <c r="AD982" s="1663"/>
      <c r="AE982" s="1664"/>
      <c r="AF982" s="1702"/>
      <c r="AG982" s="1703"/>
      <c r="AH982" s="1703"/>
      <c r="AI982" s="1704"/>
      <c r="AJ982" s="1696"/>
      <c r="AK982" s="1697"/>
      <c r="AL982" s="1697"/>
      <c r="AM982" s="1697"/>
      <c r="AN982" s="1697"/>
      <c r="AO982" s="1697"/>
      <c r="AP982" s="1697"/>
      <c r="AQ982" s="1698"/>
      <c r="AR982" s="75"/>
      <c r="AS982" s="75"/>
      <c r="AT982" s="75"/>
      <c r="AU982" s="75"/>
      <c r="AV982" s="75"/>
      <c r="AW982" s="75"/>
      <c r="AX982" s="75"/>
      <c r="AY982" s="75"/>
      <c r="AZ982" s="75"/>
      <c r="BA982" s="75"/>
      <c r="BB982" s="75"/>
      <c r="BC982" s="75"/>
      <c r="BD982" s="75"/>
      <c r="BE982" s="75"/>
      <c r="BF982" s="75"/>
      <c r="BG982" s="75"/>
      <c r="BH982" s="75"/>
      <c r="BI982" s="75"/>
      <c r="BJ982" s="75"/>
      <c r="BK982" s="75"/>
      <c r="BL982" s="75"/>
      <c r="BM982" s="75"/>
      <c r="BN982" s="75"/>
      <c r="BO982" s="75"/>
      <c r="BP982" s="75"/>
      <c r="BQ982" s="75"/>
      <c r="BR982" s="75"/>
      <c r="BS982" s="75"/>
      <c r="BT982" s="75"/>
      <c r="BU982" s="75"/>
      <c r="BV982" s="75"/>
      <c r="BW982" s="75"/>
      <c r="BX982" s="75"/>
      <c r="BY982" s="75"/>
      <c r="BZ982" s="75"/>
      <c r="CA982" s="75"/>
      <c r="CB982" s="75"/>
      <c r="CC982" s="75"/>
      <c r="CD982" s="75"/>
      <c r="CE982" s="75"/>
      <c r="CF982" s="75"/>
      <c r="CG982" s="75"/>
      <c r="CH982" s="75"/>
      <c r="CI982" s="75"/>
      <c r="CJ982" s="75"/>
      <c r="CK982" s="75"/>
      <c r="CL982" s="75"/>
      <c r="CM982" s="75"/>
      <c r="CN982" s="75"/>
      <c r="CO982" s="75"/>
      <c r="CP982" s="75"/>
      <c r="CQ982" s="75"/>
      <c r="CR982" s="75"/>
      <c r="CS982" s="75"/>
    </row>
    <row r="983" spans="1:97" ht="12.75" customHeight="1">
      <c r="A983" s="65"/>
      <c r="B983" s="1477"/>
      <c r="C983" s="1479"/>
      <c r="D983" s="1665"/>
      <c r="E983" s="1666"/>
      <c r="F983" s="1666"/>
      <c r="G983" s="1666"/>
      <c r="H983" s="1666"/>
      <c r="I983" s="1666"/>
      <c r="J983" s="1666"/>
      <c r="K983" s="1666"/>
      <c r="L983" s="1666"/>
      <c r="M983" s="1666"/>
      <c r="N983" s="1666"/>
      <c r="O983" s="1666"/>
      <c r="P983" s="1666"/>
      <c r="Q983" s="1666"/>
      <c r="R983" s="1666"/>
      <c r="S983" s="1666"/>
      <c r="T983" s="1666"/>
      <c r="U983" s="1666"/>
      <c r="V983" s="1666"/>
      <c r="W983" s="1666"/>
      <c r="X983" s="1666"/>
      <c r="Y983" s="1666"/>
      <c r="Z983" s="1666"/>
      <c r="AA983" s="1666"/>
      <c r="AB983" s="1666"/>
      <c r="AC983" s="1666"/>
      <c r="AD983" s="1666"/>
      <c r="AE983" s="1667"/>
      <c r="AF983" s="1705"/>
      <c r="AG983" s="1706"/>
      <c r="AH983" s="1706"/>
      <c r="AI983" s="1707"/>
      <c r="AJ983" s="1699"/>
      <c r="AK983" s="1700"/>
      <c r="AL983" s="1700"/>
      <c r="AM983" s="1700"/>
      <c r="AN983" s="1700"/>
      <c r="AO983" s="1700"/>
      <c r="AP983" s="1700"/>
      <c r="AQ983" s="1701"/>
    </row>
    <row r="984" spans="1:97" ht="12.75" customHeight="1">
      <c r="A984" s="65"/>
      <c r="B984" s="128"/>
      <c r="C984" s="884" t="s">
        <v>638</v>
      </c>
      <c r="D984" s="1648" t="s">
        <v>2173</v>
      </c>
      <c r="E984" s="1649"/>
      <c r="F984" s="1649"/>
      <c r="G984" s="1649"/>
      <c r="H984" s="1649"/>
      <c r="I984" s="1649"/>
      <c r="J984" s="1649"/>
      <c r="K984" s="1649"/>
      <c r="L984" s="1649"/>
      <c r="M984" s="1649"/>
      <c r="N984" s="1649"/>
      <c r="O984" s="1649"/>
      <c r="P984" s="1649"/>
      <c r="Q984" s="1649"/>
      <c r="R984" s="1649"/>
      <c r="S984" s="1649"/>
      <c r="T984" s="1649"/>
      <c r="U984" s="1649"/>
      <c r="V984" s="1649"/>
      <c r="W984" s="1649"/>
      <c r="X984" s="1649"/>
      <c r="Y984" s="1649"/>
      <c r="Z984" s="1649"/>
      <c r="AA984" s="1649"/>
      <c r="AB984" s="1649"/>
      <c r="AC984" s="1649"/>
      <c r="AD984" s="1649"/>
      <c r="AE984" s="1650"/>
      <c r="AF984" s="128"/>
      <c r="AG984" s="1651" t="s">
        <v>119</v>
      </c>
      <c r="AH984" s="1652"/>
      <c r="AI984" s="131"/>
      <c r="AJ984" s="1653">
        <f>ROUND(IF(AG984="yes",(AJ951*0.1),0),0)</f>
        <v>1205999</v>
      </c>
      <c r="AK984" s="1654"/>
      <c r="AL984" s="1654"/>
      <c r="AM984" s="1654"/>
      <c r="AN984" s="1654"/>
      <c r="AO984" s="1654"/>
      <c r="AP984" s="1654"/>
      <c r="AQ984" s="1655"/>
    </row>
    <row r="985" spans="1:97" ht="12.75" customHeight="1">
      <c r="A985" s="65"/>
      <c r="B985" s="124"/>
      <c r="C985" s="885"/>
      <c r="D985" s="1662" t="s">
        <v>2174</v>
      </c>
      <c r="E985" s="1663"/>
      <c r="F985" s="1663"/>
      <c r="G985" s="1663"/>
      <c r="H985" s="1663"/>
      <c r="I985" s="1663"/>
      <c r="J985" s="1663"/>
      <c r="K985" s="1663"/>
      <c r="L985" s="1663"/>
      <c r="M985" s="1663"/>
      <c r="N985" s="1663"/>
      <c r="O985" s="1663"/>
      <c r="P985" s="1663"/>
      <c r="Q985" s="1663"/>
      <c r="R985" s="1663"/>
      <c r="S985" s="1663"/>
      <c r="T985" s="1663"/>
      <c r="U985" s="1663"/>
      <c r="V985" s="1663"/>
      <c r="W985" s="1663"/>
      <c r="X985" s="1663"/>
      <c r="Y985" s="1663"/>
      <c r="Z985" s="1663"/>
      <c r="AA985" s="1663"/>
      <c r="AB985" s="1663"/>
      <c r="AC985" s="1663"/>
      <c r="AD985" s="1663"/>
      <c r="AE985" s="1664"/>
      <c r="AF985" s="124"/>
      <c r="AG985" s="125"/>
      <c r="AH985" s="125"/>
      <c r="AI985" s="129"/>
      <c r="AJ985" s="1656"/>
      <c r="AK985" s="1657"/>
      <c r="AL985" s="1657"/>
      <c r="AM985" s="1657"/>
      <c r="AN985" s="1657"/>
      <c r="AO985" s="1657"/>
      <c r="AP985" s="1657"/>
      <c r="AQ985" s="1658"/>
    </row>
    <row r="986" spans="1:97" ht="12.75" customHeight="1">
      <c r="A986" s="883"/>
      <c r="B986" s="126"/>
      <c r="C986" s="885"/>
      <c r="D986" s="1665"/>
      <c r="E986" s="1666"/>
      <c r="F986" s="1666"/>
      <c r="G986" s="1666"/>
      <c r="H986" s="1666"/>
      <c r="I986" s="1666"/>
      <c r="J986" s="1666"/>
      <c r="K986" s="1666"/>
      <c r="L986" s="1666"/>
      <c r="M986" s="1666"/>
      <c r="N986" s="1666"/>
      <c r="O986" s="1666"/>
      <c r="P986" s="1666"/>
      <c r="Q986" s="1666"/>
      <c r="R986" s="1666"/>
      <c r="S986" s="1666"/>
      <c r="T986" s="1666"/>
      <c r="U986" s="1666"/>
      <c r="V986" s="1666"/>
      <c r="W986" s="1666"/>
      <c r="X986" s="1666"/>
      <c r="Y986" s="1666"/>
      <c r="Z986" s="1666"/>
      <c r="AA986" s="1666"/>
      <c r="AB986" s="1666"/>
      <c r="AC986" s="1666"/>
      <c r="AD986" s="1666"/>
      <c r="AE986" s="1667"/>
      <c r="AF986" s="124"/>
      <c r="AG986" s="125"/>
      <c r="AH986" s="125"/>
      <c r="AI986" s="129"/>
      <c r="AJ986" s="1659"/>
      <c r="AK986" s="1660"/>
      <c r="AL986" s="1660"/>
      <c r="AM986" s="1660"/>
      <c r="AN986" s="1660"/>
      <c r="AO986" s="1660"/>
      <c r="AP986" s="1660"/>
      <c r="AQ986" s="1661"/>
    </row>
    <row r="987" spans="1:97" ht="17.850000000000001" customHeight="1">
      <c r="A987" s="883"/>
      <c r="B987" s="124"/>
      <c r="C987" s="884" t="s">
        <v>641</v>
      </c>
      <c r="D987" s="1668" t="s">
        <v>2306</v>
      </c>
      <c r="E987" s="1669"/>
      <c r="F987" s="1669"/>
      <c r="G987" s="1669"/>
      <c r="H987" s="1669"/>
      <c r="I987" s="1669"/>
      <c r="J987" s="1669"/>
      <c r="K987" s="1669"/>
      <c r="L987" s="1669"/>
      <c r="M987" s="1669"/>
      <c r="N987" s="1669"/>
      <c r="O987" s="1669"/>
      <c r="P987" s="1669"/>
      <c r="Q987" s="1669"/>
      <c r="R987" s="1669"/>
      <c r="S987" s="1669"/>
      <c r="T987" s="1669"/>
      <c r="U987" s="1669"/>
      <c r="V987" s="1669"/>
      <c r="W987" s="1669"/>
      <c r="X987" s="1669"/>
      <c r="Y987" s="1669"/>
      <c r="Z987" s="1669"/>
      <c r="AA987" s="1669"/>
      <c r="AB987" s="1669"/>
      <c r="AC987" s="1669"/>
      <c r="AD987" s="1669"/>
      <c r="AE987" s="1670"/>
      <c r="AF987" s="128"/>
      <c r="AG987" s="1651" t="s">
        <v>531</v>
      </c>
      <c r="AH987" s="1652"/>
      <c r="AI987" s="131"/>
      <c r="AJ987" s="1653">
        <f>ROUND(IF(AG987="yes",(AJ951*0.15),0),0)</f>
        <v>0</v>
      </c>
      <c r="AK987" s="1654"/>
      <c r="AL987" s="1654"/>
      <c r="AM987" s="1654"/>
      <c r="AN987" s="1654"/>
      <c r="AO987" s="1654"/>
      <c r="AP987" s="1654"/>
      <c r="AQ987" s="1655"/>
    </row>
    <row r="988" spans="1:97" ht="12.75" customHeight="1">
      <c r="A988" s="883"/>
      <c r="B988" s="124"/>
      <c r="C988" s="885"/>
      <c r="D988" s="1671" t="s">
        <v>2307</v>
      </c>
      <c r="E988" s="1519"/>
      <c r="F988" s="1519"/>
      <c r="G988" s="1519"/>
      <c r="H988" s="1519"/>
      <c r="I988" s="1519"/>
      <c r="J988" s="1519"/>
      <c r="K988" s="1519"/>
      <c r="L988" s="1519"/>
      <c r="M988" s="1519"/>
      <c r="N988" s="1519"/>
      <c r="O988" s="1519"/>
      <c r="P988" s="1519"/>
      <c r="Q988" s="1519"/>
      <c r="R988" s="1519"/>
      <c r="S988" s="1519"/>
      <c r="T988" s="1519"/>
      <c r="U988" s="1519"/>
      <c r="V988" s="1519"/>
      <c r="W988" s="1519"/>
      <c r="X988" s="1519"/>
      <c r="Y988" s="1519"/>
      <c r="Z988" s="1519"/>
      <c r="AA988" s="1519"/>
      <c r="AB988" s="1519"/>
      <c r="AC988" s="1519"/>
      <c r="AD988" s="1519"/>
      <c r="AE988" s="1672"/>
      <c r="AF988" s="1481"/>
      <c r="AG988" s="1482"/>
      <c r="AH988" s="1482"/>
      <c r="AI988" s="1483"/>
      <c r="AJ988" s="1656"/>
      <c r="AK988" s="1657"/>
      <c r="AL988" s="1657"/>
      <c r="AM988" s="1657"/>
      <c r="AN988" s="1657"/>
      <c r="AO988" s="1657"/>
      <c r="AP988" s="1657"/>
      <c r="AQ988" s="1658"/>
      <c r="AR988" s="75"/>
      <c r="AS988" s="75"/>
      <c r="AT988" s="75"/>
      <c r="AU988" s="75"/>
      <c r="AV988" s="75"/>
      <c r="AW988" s="75"/>
      <c r="AX988" s="75"/>
      <c r="AY988" s="75"/>
      <c r="AZ988" s="75"/>
      <c r="BA988" s="75"/>
      <c r="BB988" s="75"/>
      <c r="BC988" s="75"/>
      <c r="BD988" s="75"/>
      <c r="BE988" s="75"/>
      <c r="BF988" s="75"/>
      <c r="BG988" s="75"/>
      <c r="BH988" s="75"/>
      <c r="BI988" s="75"/>
      <c r="BJ988" s="75"/>
      <c r="BK988" s="75"/>
      <c r="BL988" s="75"/>
      <c r="BM988" s="75"/>
      <c r="BN988" s="75"/>
      <c r="BO988" s="75"/>
      <c r="BP988" s="75"/>
      <c r="BQ988" s="75"/>
      <c r="BR988" s="75"/>
      <c r="BS988" s="75"/>
      <c r="BT988" s="75"/>
      <c r="BU988" s="75"/>
      <c r="BV988" s="75"/>
      <c r="BW988" s="75"/>
      <c r="BX988" s="75"/>
      <c r="BY988" s="75"/>
      <c r="BZ988" s="75"/>
      <c r="CA988" s="75"/>
      <c r="CB988" s="75"/>
      <c r="CC988" s="75"/>
      <c r="CD988" s="75"/>
      <c r="CE988" s="75"/>
      <c r="CF988" s="75"/>
      <c r="CG988" s="75"/>
      <c r="CH988" s="75"/>
      <c r="CI988" s="75"/>
      <c r="CJ988" s="75"/>
      <c r="CK988" s="75"/>
      <c r="CL988" s="75"/>
      <c r="CM988" s="75"/>
      <c r="CN988" s="75"/>
      <c r="CO988" s="75"/>
      <c r="CP988" s="75"/>
      <c r="CQ988" s="75"/>
      <c r="CR988" s="75"/>
      <c r="CS988" s="75"/>
    </row>
    <row r="989" spans="1:97" ht="12.75" customHeight="1">
      <c r="A989" s="883"/>
      <c r="B989" s="124"/>
      <c r="C989" s="885"/>
      <c r="D989" s="1671"/>
      <c r="E989" s="1519"/>
      <c r="F989" s="1519"/>
      <c r="G989" s="1519"/>
      <c r="H989" s="1519"/>
      <c r="I989" s="1519"/>
      <c r="J989" s="1519"/>
      <c r="K989" s="1519"/>
      <c r="L989" s="1519"/>
      <c r="M989" s="1519"/>
      <c r="N989" s="1519"/>
      <c r="O989" s="1519"/>
      <c r="P989" s="1519"/>
      <c r="Q989" s="1519"/>
      <c r="R989" s="1519"/>
      <c r="S989" s="1519"/>
      <c r="T989" s="1519"/>
      <c r="U989" s="1519"/>
      <c r="V989" s="1519"/>
      <c r="W989" s="1519"/>
      <c r="X989" s="1519"/>
      <c r="Y989" s="1519"/>
      <c r="Z989" s="1519"/>
      <c r="AA989" s="1519"/>
      <c r="AB989" s="1519"/>
      <c r="AC989" s="1519"/>
      <c r="AD989" s="1519"/>
      <c r="AE989" s="1672"/>
      <c r="AF989" s="1481"/>
      <c r="AG989" s="1482"/>
      <c r="AH989" s="1482"/>
      <c r="AI989" s="1483"/>
      <c r="AJ989" s="1656"/>
      <c r="AK989" s="1657"/>
      <c r="AL989" s="1657"/>
      <c r="AM989" s="1657"/>
      <c r="AN989" s="1657"/>
      <c r="AO989" s="1657"/>
      <c r="AP989" s="1657"/>
      <c r="AQ989" s="1658"/>
      <c r="AR989" s="75"/>
      <c r="AS989" s="75"/>
      <c r="AT989" s="75"/>
      <c r="AU989" s="75"/>
      <c r="AV989" s="75"/>
      <c r="AW989" s="75"/>
      <c r="AX989" s="75"/>
      <c r="AY989" s="75"/>
      <c r="AZ989" s="75"/>
      <c r="BA989" s="75"/>
      <c r="BB989" s="75"/>
      <c r="BC989" s="75"/>
      <c r="BD989" s="75"/>
      <c r="BE989" s="75"/>
      <c r="BF989" s="75"/>
      <c r="BG989" s="75"/>
      <c r="BH989" s="75"/>
      <c r="BI989" s="75"/>
      <c r="BJ989" s="75"/>
      <c r="BK989" s="75"/>
      <c r="BL989" s="75"/>
      <c r="BM989" s="75"/>
      <c r="BN989" s="75"/>
      <c r="BO989" s="75"/>
      <c r="BP989" s="75"/>
      <c r="BQ989" s="75"/>
      <c r="BR989" s="75"/>
      <c r="BS989" s="75"/>
      <c r="BT989" s="75"/>
      <c r="BU989" s="75"/>
      <c r="BV989" s="75"/>
      <c r="BW989" s="75"/>
      <c r="BX989" s="75"/>
      <c r="BY989" s="75"/>
      <c r="BZ989" s="75"/>
      <c r="CA989" s="75"/>
      <c r="CB989" s="75"/>
      <c r="CC989" s="75"/>
      <c r="CD989" s="75"/>
      <c r="CE989" s="75"/>
      <c r="CF989" s="75"/>
      <c r="CG989" s="75"/>
      <c r="CH989" s="75"/>
      <c r="CI989" s="75"/>
      <c r="CJ989" s="75"/>
      <c r="CK989" s="75"/>
      <c r="CL989" s="75"/>
      <c r="CM989" s="75"/>
      <c r="CN989" s="75"/>
      <c r="CO989" s="75"/>
      <c r="CP989" s="75"/>
      <c r="CQ989" s="75"/>
      <c r="CR989" s="75"/>
      <c r="CS989" s="75"/>
    </row>
    <row r="990" spans="1:97" ht="12.75" customHeight="1">
      <c r="A990" s="883"/>
      <c r="B990" s="124"/>
      <c r="C990" s="885"/>
      <c r="D990" s="1673"/>
      <c r="E990" s="1674"/>
      <c r="F990" s="1674"/>
      <c r="G990" s="1674"/>
      <c r="H990" s="1674"/>
      <c r="I990" s="1674"/>
      <c r="J990" s="1674"/>
      <c r="K990" s="1674"/>
      <c r="L990" s="1674"/>
      <c r="M990" s="1674"/>
      <c r="N990" s="1674"/>
      <c r="O990" s="1674"/>
      <c r="P990" s="1674"/>
      <c r="Q990" s="1674"/>
      <c r="R990" s="1674"/>
      <c r="S990" s="1674"/>
      <c r="T990" s="1674"/>
      <c r="U990" s="1674"/>
      <c r="V990" s="1674"/>
      <c r="W990" s="1674"/>
      <c r="X990" s="1674"/>
      <c r="Y990" s="1674"/>
      <c r="Z990" s="1674"/>
      <c r="AA990" s="1674"/>
      <c r="AB990" s="1674"/>
      <c r="AC990" s="1674"/>
      <c r="AD990" s="1674"/>
      <c r="AE990" s="1675"/>
      <c r="AF990" s="1484"/>
      <c r="AG990" s="1485"/>
      <c r="AH990" s="1485"/>
      <c r="AI990" s="1486"/>
      <c r="AJ990" s="1659"/>
      <c r="AK990" s="1660"/>
      <c r="AL990" s="1660"/>
      <c r="AM990" s="1660"/>
      <c r="AN990" s="1660"/>
      <c r="AO990" s="1660"/>
      <c r="AP990" s="1660"/>
      <c r="AQ990" s="1661"/>
      <c r="AR990" s="75"/>
      <c r="AS990" s="75"/>
      <c r="AT990" s="75"/>
      <c r="AU990" s="75"/>
      <c r="AV990" s="75"/>
      <c r="AW990" s="75"/>
      <c r="AX990" s="75"/>
      <c r="AY990" s="75"/>
      <c r="AZ990" s="75"/>
      <c r="BA990" s="75"/>
      <c r="BB990" s="75"/>
      <c r="BC990" s="75"/>
      <c r="BD990" s="75"/>
      <c r="BE990" s="75"/>
      <c r="BF990" s="75"/>
      <c r="BG990" s="75"/>
      <c r="BH990" s="75"/>
      <c r="BI990" s="75"/>
      <c r="BJ990" s="75"/>
      <c r="BK990" s="75"/>
      <c r="BL990" s="75"/>
      <c r="BM990" s="75"/>
      <c r="BN990" s="75"/>
      <c r="BO990" s="75"/>
      <c r="BP990" s="75"/>
      <c r="BQ990" s="75"/>
      <c r="BR990" s="75"/>
      <c r="BS990" s="75"/>
      <c r="BT990" s="75"/>
      <c r="BU990" s="75"/>
      <c r="BV990" s="75"/>
      <c r="BW990" s="75"/>
      <c r="BX990" s="75"/>
      <c r="BY990" s="75"/>
      <c r="BZ990" s="75"/>
      <c r="CA990" s="75"/>
      <c r="CB990" s="75"/>
      <c r="CC990" s="75"/>
      <c r="CD990" s="75"/>
      <c r="CE990" s="75"/>
      <c r="CF990" s="75"/>
      <c r="CG990" s="75"/>
      <c r="CH990" s="75"/>
      <c r="CI990" s="75"/>
      <c r="CJ990" s="75"/>
      <c r="CK990" s="75"/>
      <c r="CL990" s="75"/>
      <c r="CM990" s="75"/>
      <c r="CN990" s="75"/>
      <c r="CO990" s="75"/>
      <c r="CP990" s="75"/>
      <c r="CQ990" s="75"/>
      <c r="CR990" s="75"/>
      <c r="CS990" s="75"/>
    </row>
    <row r="991" spans="1:97" ht="12.75" customHeight="1">
      <c r="A991" s="134"/>
      <c r="B991" s="124"/>
      <c r="C991" s="884" t="s">
        <v>641</v>
      </c>
      <c r="D991" s="1648" t="s">
        <v>2308</v>
      </c>
      <c r="E991" s="1649"/>
      <c r="F991" s="1649"/>
      <c r="G991" s="1649"/>
      <c r="H991" s="1649"/>
      <c r="I991" s="1649"/>
      <c r="J991" s="1649"/>
      <c r="K991" s="1649"/>
      <c r="L991" s="1649"/>
      <c r="M991" s="1649"/>
      <c r="N991" s="1649"/>
      <c r="O991" s="1649"/>
      <c r="P991" s="1649"/>
      <c r="Q991" s="1649"/>
      <c r="R991" s="1649"/>
      <c r="S991" s="1649"/>
      <c r="T991" s="1649"/>
      <c r="U991" s="1649"/>
      <c r="V991" s="1649"/>
      <c r="W991" s="1649"/>
      <c r="X991" s="1649"/>
      <c r="Y991" s="1649"/>
      <c r="Z991" s="1649"/>
      <c r="AA991" s="1649"/>
      <c r="AB991" s="1649"/>
      <c r="AC991" s="1649"/>
      <c r="AD991" s="1649"/>
      <c r="AE991" s="1650"/>
      <c r="AF991" s="124"/>
      <c r="AG991" s="1720" t="s">
        <v>531</v>
      </c>
      <c r="AH991" s="1721"/>
      <c r="AI991" s="129"/>
      <c r="AJ991" s="1653">
        <f>ROUND(IF(AG991="yes",(AJ951*0.1),0),0)</f>
        <v>0</v>
      </c>
      <c r="AK991" s="1654"/>
      <c r="AL991" s="1654"/>
      <c r="AM991" s="1654"/>
      <c r="AN991" s="1654"/>
      <c r="AO991" s="1654"/>
      <c r="AP991" s="1654"/>
      <c r="AQ991" s="1655"/>
      <c r="AR991" s="75"/>
      <c r="AS991" s="75"/>
      <c r="AT991" s="75"/>
      <c r="AU991" s="75"/>
      <c r="AV991" s="75"/>
      <c r="AW991" s="75"/>
      <c r="AX991" s="75"/>
      <c r="AY991" s="75"/>
      <c r="AZ991" s="75"/>
      <c r="BA991" s="75"/>
      <c r="BB991" s="75"/>
      <c r="BC991" s="75"/>
      <c r="BD991" s="75"/>
      <c r="BE991" s="75"/>
      <c r="BF991" s="75"/>
      <c r="BG991" s="75"/>
      <c r="BH991" s="75"/>
      <c r="BI991" s="75"/>
      <c r="BJ991" s="75"/>
      <c r="BK991" s="75"/>
      <c r="BL991" s="75"/>
      <c r="BM991" s="75"/>
      <c r="BN991" s="75"/>
      <c r="BO991" s="75"/>
      <c r="BP991" s="75"/>
      <c r="BQ991" s="75"/>
      <c r="BR991" s="75"/>
      <c r="BS991" s="75"/>
      <c r="BT991" s="75"/>
      <c r="BU991" s="75"/>
      <c r="BV991" s="75"/>
      <c r="BW991" s="75"/>
      <c r="BX991" s="75"/>
      <c r="BY991" s="75"/>
      <c r="BZ991" s="75"/>
      <c r="CA991" s="75"/>
      <c r="CB991" s="75"/>
      <c r="CC991" s="75"/>
      <c r="CD991" s="75"/>
      <c r="CE991" s="75"/>
      <c r="CF991" s="75"/>
      <c r="CG991" s="75"/>
      <c r="CH991" s="75"/>
      <c r="CI991" s="75"/>
      <c r="CJ991" s="75"/>
      <c r="CK991" s="75"/>
      <c r="CL991" s="75"/>
      <c r="CM991" s="75"/>
      <c r="CN991" s="75"/>
      <c r="CO991" s="75"/>
      <c r="CP991" s="75"/>
      <c r="CQ991" s="75"/>
      <c r="CR991" s="75"/>
      <c r="CS991" s="75"/>
    </row>
    <row r="992" spans="1:97" s="35" customFormat="1" ht="12.75" customHeight="1">
      <c r="A992" s="774"/>
      <c r="B992" s="124"/>
      <c r="C992" s="885"/>
      <c r="D992" s="1671" t="s">
        <v>2309</v>
      </c>
      <c r="E992" s="1519"/>
      <c r="F992" s="1519"/>
      <c r="G992" s="1519"/>
      <c r="H992" s="1519"/>
      <c r="I992" s="1519"/>
      <c r="J992" s="1519"/>
      <c r="K992" s="1519"/>
      <c r="L992" s="1519"/>
      <c r="M992" s="1519"/>
      <c r="N992" s="1519"/>
      <c r="O992" s="1519"/>
      <c r="P992" s="1519"/>
      <c r="Q992" s="1519"/>
      <c r="R992" s="1519"/>
      <c r="S992" s="1519"/>
      <c r="T992" s="1519"/>
      <c r="U992" s="1519"/>
      <c r="V992" s="1519"/>
      <c r="W992" s="1519"/>
      <c r="X992" s="1519"/>
      <c r="Y992" s="1519"/>
      <c r="Z992" s="1519"/>
      <c r="AA992" s="1519"/>
      <c r="AB992" s="1519"/>
      <c r="AC992" s="1519"/>
      <c r="AD992" s="1519"/>
      <c r="AE992" s="1672"/>
      <c r="AF992" s="124"/>
      <c r="AG992" s="125"/>
      <c r="AH992" s="125"/>
      <c r="AI992" s="129"/>
      <c r="AJ992" s="1656"/>
      <c r="AK992" s="1657"/>
      <c r="AL992" s="1657"/>
      <c r="AM992" s="1657"/>
      <c r="AN992" s="1657"/>
      <c r="AO992" s="1657"/>
      <c r="AP992" s="1657"/>
      <c r="AQ992" s="1658"/>
      <c r="AR992" s="807"/>
      <c r="AS992" s="807"/>
      <c r="AT992" s="807"/>
      <c r="AU992" s="807"/>
      <c r="AV992" s="807"/>
      <c r="AW992" s="807"/>
      <c r="AX992" s="807"/>
      <c r="AY992" s="807"/>
      <c r="AZ992" s="807"/>
      <c r="BA992" s="807"/>
      <c r="BB992" s="807"/>
      <c r="BC992" s="807"/>
      <c r="BD992" s="807"/>
      <c r="BE992" s="807"/>
      <c r="BF992" s="807"/>
      <c r="BG992" s="807"/>
      <c r="BH992" s="807"/>
      <c r="BI992" s="807"/>
      <c r="BJ992" s="807"/>
      <c r="BK992" s="807"/>
      <c r="BL992" s="807"/>
      <c r="BM992" s="807"/>
      <c r="BN992" s="807"/>
      <c r="BO992" s="807"/>
      <c r="BP992" s="807"/>
      <c r="BQ992" s="807"/>
      <c r="BR992" s="807"/>
      <c r="BS992" s="807"/>
      <c r="BT992" s="807"/>
      <c r="BU992" s="807"/>
      <c r="BV992" s="807"/>
      <c r="BW992" s="807"/>
      <c r="BX992" s="807"/>
      <c r="BY992" s="807"/>
      <c r="BZ992" s="807"/>
      <c r="CA992" s="807"/>
      <c r="CB992" s="807"/>
      <c r="CC992" s="807"/>
      <c r="CD992" s="807"/>
      <c r="CE992" s="807"/>
      <c r="CF992" s="807"/>
      <c r="CG992" s="807"/>
      <c r="CH992" s="807"/>
      <c r="CI992" s="807"/>
      <c r="CJ992" s="807"/>
      <c r="CK992" s="807"/>
      <c r="CL992" s="807"/>
      <c r="CM992" s="807"/>
      <c r="CN992" s="807"/>
      <c r="CO992" s="807"/>
      <c r="CP992" s="807"/>
      <c r="CQ992" s="807"/>
      <c r="CR992" s="807"/>
      <c r="CS992" s="807"/>
    </row>
    <row r="993" spans="1:97" s="35" customFormat="1" ht="12.75" customHeight="1">
      <c r="A993" s="774"/>
      <c r="B993" s="124"/>
      <c r="C993" s="885"/>
      <c r="D993" s="1671"/>
      <c r="E993" s="1519"/>
      <c r="F993" s="1519"/>
      <c r="G993" s="1519"/>
      <c r="H993" s="1519"/>
      <c r="I993" s="1519"/>
      <c r="J993" s="1519"/>
      <c r="K993" s="1519"/>
      <c r="L993" s="1519"/>
      <c r="M993" s="1519"/>
      <c r="N993" s="1519"/>
      <c r="O993" s="1519"/>
      <c r="P993" s="1519"/>
      <c r="Q993" s="1519"/>
      <c r="R993" s="1519"/>
      <c r="S993" s="1519"/>
      <c r="T993" s="1519"/>
      <c r="U993" s="1519"/>
      <c r="V993" s="1519"/>
      <c r="W993" s="1519"/>
      <c r="X993" s="1519"/>
      <c r="Y993" s="1519"/>
      <c r="Z993" s="1519"/>
      <c r="AA993" s="1519"/>
      <c r="AB993" s="1519"/>
      <c r="AC993" s="1519"/>
      <c r="AD993" s="1519"/>
      <c r="AE993" s="1672"/>
      <c r="AF993" s="124"/>
      <c r="AG993" s="125"/>
      <c r="AH993" s="125"/>
      <c r="AI993" s="129"/>
      <c r="AJ993" s="1656"/>
      <c r="AK993" s="1657"/>
      <c r="AL993" s="1657"/>
      <c r="AM993" s="1657"/>
      <c r="AN993" s="1657"/>
      <c r="AO993" s="1657"/>
      <c r="AP993" s="1657"/>
      <c r="AQ993" s="1658"/>
      <c r="AR993" s="807"/>
      <c r="AS993" s="807"/>
      <c r="AT993" s="807"/>
      <c r="AU993" s="807"/>
      <c r="AV993" s="807"/>
      <c r="AW993" s="807"/>
      <c r="AX993" s="807"/>
      <c r="AY993" s="807"/>
      <c r="AZ993" s="807"/>
      <c r="BA993" s="807"/>
      <c r="BB993" s="807"/>
      <c r="BC993" s="807"/>
      <c r="BD993" s="807"/>
      <c r="BE993" s="807"/>
      <c r="BF993" s="807"/>
      <c r="BG993" s="807"/>
      <c r="BH993" s="807"/>
      <c r="BI993" s="807"/>
      <c r="BJ993" s="807"/>
      <c r="BK993" s="807"/>
      <c r="BL993" s="807"/>
      <c r="BM993" s="807"/>
      <c r="BN993" s="807"/>
      <c r="BO993" s="807"/>
      <c r="BP993" s="807"/>
      <c r="BQ993" s="807"/>
      <c r="BR993" s="807"/>
      <c r="BS993" s="807"/>
      <c r="BT993" s="807"/>
      <c r="BU993" s="807"/>
      <c r="BV993" s="807"/>
      <c r="BW993" s="807"/>
      <c r="BX993" s="807"/>
      <c r="BY993" s="807"/>
      <c r="BZ993" s="807"/>
      <c r="CA993" s="807"/>
      <c r="CB993" s="807"/>
      <c r="CC993" s="807"/>
      <c r="CD993" s="807"/>
      <c r="CE993" s="807"/>
      <c r="CF993" s="807"/>
      <c r="CG993" s="807"/>
      <c r="CH993" s="807"/>
      <c r="CI993" s="807"/>
      <c r="CJ993" s="807"/>
      <c r="CK993" s="807"/>
      <c r="CL993" s="807"/>
      <c r="CM993" s="807"/>
      <c r="CN993" s="807"/>
      <c r="CO993" s="807"/>
      <c r="CP993" s="807"/>
      <c r="CQ993" s="807"/>
      <c r="CR993" s="807"/>
      <c r="CS993" s="807"/>
    </row>
    <row r="994" spans="1:97" s="35" customFormat="1" ht="12.75" customHeight="1">
      <c r="A994" s="774"/>
      <c r="B994" s="124"/>
      <c r="C994" s="885"/>
      <c r="D994" s="1671"/>
      <c r="E994" s="1519"/>
      <c r="F994" s="1519"/>
      <c r="G994" s="1519"/>
      <c r="H994" s="1519"/>
      <c r="I994" s="1519"/>
      <c r="J994" s="1519"/>
      <c r="K994" s="1519"/>
      <c r="L994" s="1519"/>
      <c r="M994" s="1519"/>
      <c r="N994" s="1519"/>
      <c r="O994" s="1519"/>
      <c r="P994" s="1519"/>
      <c r="Q994" s="1519"/>
      <c r="R994" s="1519"/>
      <c r="S994" s="1519"/>
      <c r="T994" s="1519"/>
      <c r="U994" s="1519"/>
      <c r="V994" s="1519"/>
      <c r="W994" s="1519"/>
      <c r="X994" s="1519"/>
      <c r="Y994" s="1519"/>
      <c r="Z994" s="1519"/>
      <c r="AA994" s="1519"/>
      <c r="AB994" s="1519"/>
      <c r="AC994" s="1519"/>
      <c r="AD994" s="1519"/>
      <c r="AE994" s="1672"/>
      <c r="AF994" s="124"/>
      <c r="AG994" s="125"/>
      <c r="AH994" s="125"/>
      <c r="AI994" s="129"/>
      <c r="AJ994" s="1656"/>
      <c r="AK994" s="1657"/>
      <c r="AL994" s="1657"/>
      <c r="AM994" s="1657"/>
      <c r="AN994" s="1657"/>
      <c r="AO994" s="1657"/>
      <c r="AP994" s="1657"/>
      <c r="AQ994" s="1658"/>
      <c r="AR994" s="807"/>
      <c r="AS994" s="807"/>
      <c r="AT994" s="807"/>
      <c r="AU994" s="807"/>
      <c r="AV994" s="807"/>
      <c r="AW994" s="807"/>
      <c r="AX994" s="807"/>
      <c r="AY994" s="807"/>
      <c r="AZ994" s="807"/>
      <c r="BA994" s="807"/>
      <c r="BB994" s="807"/>
      <c r="BC994" s="807"/>
      <c r="BD994" s="807"/>
      <c r="BE994" s="807"/>
      <c r="BF994" s="807"/>
      <c r="BG994" s="807"/>
      <c r="BH994" s="807"/>
      <c r="BI994" s="807"/>
      <c r="BJ994" s="807"/>
      <c r="BK994" s="807"/>
      <c r="BL994" s="807"/>
      <c r="BM994" s="807"/>
      <c r="BN994" s="807"/>
      <c r="BO994" s="807"/>
      <c r="BP994" s="807"/>
      <c r="BQ994" s="807"/>
      <c r="BR994" s="807"/>
      <c r="BS994" s="807"/>
      <c r="BT994" s="807"/>
      <c r="BU994" s="807"/>
      <c r="BV994" s="807"/>
      <c r="BW994" s="807"/>
      <c r="BX994" s="807"/>
      <c r="BY994" s="807"/>
      <c r="BZ994" s="807"/>
      <c r="CA994" s="807"/>
      <c r="CB994" s="807"/>
      <c r="CC994" s="807"/>
      <c r="CD994" s="807"/>
      <c r="CE994" s="807"/>
      <c r="CF994" s="807"/>
      <c r="CG994" s="807"/>
      <c r="CH994" s="807"/>
      <c r="CI994" s="807"/>
      <c r="CJ994" s="807"/>
      <c r="CK994" s="807"/>
      <c r="CL994" s="807"/>
      <c r="CM994" s="807"/>
      <c r="CN994" s="807"/>
      <c r="CO994" s="807"/>
      <c r="CP994" s="807"/>
      <c r="CQ994" s="807"/>
      <c r="CR994" s="807"/>
      <c r="CS994" s="807"/>
    </row>
    <row r="995" spans="1:97" s="35" customFormat="1" ht="12.75" customHeight="1">
      <c r="A995" s="774"/>
      <c r="B995" s="124"/>
      <c r="C995" s="885"/>
      <c r="D995" s="1673"/>
      <c r="E995" s="1674"/>
      <c r="F995" s="1674"/>
      <c r="G995" s="1674"/>
      <c r="H995" s="1674"/>
      <c r="I995" s="1674"/>
      <c r="J995" s="1674"/>
      <c r="K995" s="1674"/>
      <c r="L995" s="1674"/>
      <c r="M995" s="1674"/>
      <c r="N995" s="1674"/>
      <c r="O995" s="1674"/>
      <c r="P995" s="1674"/>
      <c r="Q995" s="1674"/>
      <c r="R995" s="1674"/>
      <c r="S995" s="1674"/>
      <c r="T995" s="1674"/>
      <c r="U995" s="1674"/>
      <c r="V995" s="1674"/>
      <c r="W995" s="1674"/>
      <c r="X995" s="1674"/>
      <c r="Y995" s="1674"/>
      <c r="Z995" s="1674"/>
      <c r="AA995" s="1674"/>
      <c r="AB995" s="1674"/>
      <c r="AC995" s="1674"/>
      <c r="AD995" s="1674"/>
      <c r="AE995" s="1675"/>
      <c r="AF995" s="124"/>
      <c r="AG995" s="125"/>
      <c r="AH995" s="125"/>
      <c r="AI995" s="129"/>
      <c r="AJ995" s="1656"/>
      <c r="AK995" s="1657"/>
      <c r="AL995" s="1657"/>
      <c r="AM995" s="1657"/>
      <c r="AN995" s="1657"/>
      <c r="AO995" s="1657"/>
      <c r="AP995" s="1657"/>
      <c r="AQ995" s="1658"/>
      <c r="AR995" s="807"/>
      <c r="AS995" s="807"/>
      <c r="AT995" s="807"/>
      <c r="AU995" s="807"/>
      <c r="AV995" s="807"/>
      <c r="AW995" s="807"/>
      <c r="AX995" s="807"/>
      <c r="AY995" s="807"/>
      <c r="AZ995" s="807"/>
      <c r="BA995" s="807"/>
      <c r="BB995" s="807"/>
      <c r="BC995" s="807"/>
      <c r="BD995" s="807"/>
      <c r="BE995" s="807"/>
      <c r="BF995" s="807"/>
      <c r="BG995" s="807"/>
      <c r="BH995" s="807"/>
      <c r="BI995" s="807"/>
      <c r="BJ995" s="807"/>
      <c r="BK995" s="807"/>
      <c r="BL995" s="807"/>
      <c r="BM995" s="807"/>
      <c r="BN995" s="807"/>
      <c r="BO995" s="807"/>
      <c r="BP995" s="807"/>
      <c r="BQ995" s="807"/>
      <c r="BR995" s="807"/>
      <c r="BS995" s="807"/>
      <c r="BT995" s="807"/>
      <c r="BU995" s="807"/>
      <c r="BV995" s="807"/>
      <c r="BW995" s="807"/>
      <c r="BX995" s="807"/>
      <c r="BY995" s="807"/>
      <c r="BZ995" s="807"/>
      <c r="CA995" s="807"/>
      <c r="CB995" s="807"/>
      <c r="CC995" s="807"/>
      <c r="CD995" s="807"/>
      <c r="CE995" s="807"/>
      <c r="CF995" s="807"/>
      <c r="CG995" s="807"/>
      <c r="CH995" s="807"/>
      <c r="CI995" s="807"/>
      <c r="CJ995" s="807"/>
      <c r="CK995" s="807"/>
      <c r="CL995" s="807"/>
      <c r="CM995" s="807"/>
      <c r="CN995" s="807"/>
      <c r="CO995" s="807"/>
      <c r="CP995" s="807"/>
      <c r="CQ995" s="807"/>
      <c r="CR995" s="807"/>
      <c r="CS995" s="807"/>
    </row>
    <row r="996" spans="1:97" s="35" customFormat="1" ht="12.75" customHeight="1">
      <c r="A996" s="774"/>
      <c r="B996" s="128"/>
      <c r="C996" s="1487" t="s">
        <v>2310</v>
      </c>
      <c r="D996" s="1668" t="s">
        <v>2175</v>
      </c>
      <c r="E996" s="1669"/>
      <c r="F996" s="1669"/>
      <c r="G996" s="1669"/>
      <c r="H996" s="1669"/>
      <c r="I996" s="1669"/>
      <c r="J996" s="1669"/>
      <c r="K996" s="1669"/>
      <c r="L996" s="1669"/>
      <c r="M996" s="1669"/>
      <c r="N996" s="1669"/>
      <c r="O996" s="1669"/>
      <c r="P996" s="1669"/>
      <c r="Q996" s="1669"/>
      <c r="R996" s="1669"/>
      <c r="S996" s="1669"/>
      <c r="T996" s="1669"/>
      <c r="U996" s="1669"/>
      <c r="V996" s="1669"/>
      <c r="W996" s="1669"/>
      <c r="X996" s="1669"/>
      <c r="Y996" s="1669"/>
      <c r="Z996" s="1669"/>
      <c r="AA996" s="1669"/>
      <c r="AB996" s="1669"/>
      <c r="AC996" s="1669"/>
      <c r="AD996" s="1669"/>
      <c r="AE996" s="1670"/>
      <c r="AF996" s="128"/>
      <c r="AG996" s="1651" t="s">
        <v>531</v>
      </c>
      <c r="AH996" s="1652"/>
      <c r="AI996" s="131"/>
      <c r="AJ996" s="1653">
        <f>ROUND(IF(AG996="yes",(AJ951*0.1),0),0)</f>
        <v>0</v>
      </c>
      <c r="AK996" s="1654"/>
      <c r="AL996" s="1654"/>
      <c r="AM996" s="1654"/>
      <c r="AN996" s="1654"/>
      <c r="AO996" s="1654"/>
      <c r="AP996" s="1654"/>
      <c r="AQ996" s="1655"/>
      <c r="AR996" s="807"/>
      <c r="AS996" s="807"/>
      <c r="AT996" s="807"/>
      <c r="AU996" s="807"/>
      <c r="AV996" s="807"/>
      <c r="AW996" s="807"/>
      <c r="AX996" s="807"/>
      <c r="AY996" s="807"/>
      <c r="AZ996" s="807"/>
      <c r="BA996" s="807"/>
      <c r="BB996" s="807"/>
      <c r="BC996" s="807"/>
      <c r="BD996" s="807"/>
      <c r="BE996" s="807"/>
      <c r="BF996" s="807"/>
      <c r="BG996" s="807"/>
      <c r="BH996" s="807"/>
      <c r="BI996" s="807"/>
      <c r="BJ996" s="807"/>
      <c r="BK996" s="807"/>
      <c r="BL996" s="807"/>
      <c r="BM996" s="807"/>
      <c r="BN996" s="807"/>
      <c r="BO996" s="807"/>
      <c r="BP996" s="807"/>
      <c r="BQ996" s="807"/>
      <c r="BR996" s="807"/>
      <c r="BS996" s="807"/>
      <c r="BT996" s="807"/>
      <c r="BU996" s="807"/>
      <c r="BV996" s="807"/>
      <c r="BW996" s="807"/>
      <c r="BX996" s="807"/>
      <c r="BY996" s="807"/>
      <c r="BZ996" s="807"/>
      <c r="CA996" s="807"/>
      <c r="CB996" s="807"/>
      <c r="CC996" s="807"/>
      <c r="CD996" s="807"/>
      <c r="CE996" s="807"/>
      <c r="CF996" s="807"/>
      <c r="CG996" s="807"/>
      <c r="CH996" s="807"/>
      <c r="CI996" s="807"/>
      <c r="CJ996" s="807"/>
      <c r="CK996" s="807"/>
      <c r="CL996" s="807"/>
      <c r="CM996" s="807"/>
      <c r="CN996" s="807"/>
      <c r="CO996" s="807"/>
      <c r="CP996" s="807"/>
      <c r="CQ996" s="807"/>
      <c r="CR996" s="807"/>
      <c r="CS996" s="807"/>
    </row>
    <row r="997" spans="1:97" s="35" customFormat="1" ht="12.75" customHeight="1">
      <c r="A997" s="774"/>
      <c r="B997" s="124"/>
      <c r="C997" s="885"/>
      <c r="D997" s="1662" t="s">
        <v>2311</v>
      </c>
      <c r="E997" s="1663"/>
      <c r="F997" s="1663"/>
      <c r="G997" s="1663"/>
      <c r="H997" s="1663"/>
      <c r="I997" s="1663"/>
      <c r="J997" s="1663"/>
      <c r="K997" s="1663"/>
      <c r="L997" s="1663"/>
      <c r="M997" s="1663"/>
      <c r="N997" s="1663"/>
      <c r="O997" s="1663"/>
      <c r="P997" s="1663"/>
      <c r="Q997" s="1663"/>
      <c r="R997" s="1663"/>
      <c r="S997" s="1663"/>
      <c r="T997" s="1663"/>
      <c r="U997" s="1663"/>
      <c r="V997" s="1663"/>
      <c r="W997" s="1663"/>
      <c r="X997" s="1663"/>
      <c r="Y997" s="1663"/>
      <c r="Z997" s="1663"/>
      <c r="AA997" s="1663"/>
      <c r="AB997" s="1663"/>
      <c r="AC997" s="1663"/>
      <c r="AD997" s="1663"/>
      <c r="AE997" s="1664"/>
      <c r="AF997" s="124"/>
      <c r="AG997" s="125"/>
      <c r="AH997" s="125"/>
      <c r="AI997" s="129"/>
      <c r="AJ997" s="1656"/>
      <c r="AK997" s="1657"/>
      <c r="AL997" s="1657"/>
      <c r="AM997" s="1657"/>
      <c r="AN997" s="1657"/>
      <c r="AO997" s="1657"/>
      <c r="AP997" s="1657"/>
      <c r="AQ997" s="1658"/>
      <c r="AR997" s="807"/>
      <c r="AS997" s="807"/>
      <c r="AT997" s="807"/>
      <c r="AU997" s="807"/>
      <c r="AV997" s="807"/>
      <c r="AW997" s="807"/>
      <c r="AX997" s="807"/>
      <c r="AY997" s="807"/>
      <c r="AZ997" s="807"/>
      <c r="BA997" s="807"/>
      <c r="BB997" s="807"/>
      <c r="BC997" s="807"/>
      <c r="BD997" s="807"/>
      <c r="BE997" s="807"/>
      <c r="BF997" s="807"/>
      <c r="BG997" s="807"/>
      <c r="BH997" s="807"/>
      <c r="BI997" s="807"/>
      <c r="BJ997" s="807"/>
      <c r="BK997" s="807"/>
      <c r="BL997" s="807"/>
      <c r="BM997" s="807"/>
      <c r="BN997" s="807"/>
      <c r="BO997" s="807"/>
      <c r="BP997" s="807"/>
      <c r="BQ997" s="807"/>
      <c r="BR997" s="807"/>
      <c r="BS997" s="807"/>
      <c r="BT997" s="807"/>
      <c r="BU997" s="807"/>
      <c r="BV997" s="807"/>
      <c r="BW997" s="807"/>
      <c r="BX997" s="807"/>
      <c r="BY997" s="807"/>
      <c r="BZ997" s="807"/>
      <c r="CA997" s="807"/>
      <c r="CB997" s="807"/>
      <c r="CC997" s="807"/>
      <c r="CD997" s="807"/>
      <c r="CE997" s="807"/>
      <c r="CF997" s="807"/>
      <c r="CG997" s="807"/>
      <c r="CH997" s="807"/>
      <c r="CI997" s="807"/>
      <c r="CJ997" s="807"/>
      <c r="CK997" s="807"/>
      <c r="CL997" s="807"/>
      <c r="CM997" s="807"/>
      <c r="CN997" s="807"/>
      <c r="CO997" s="807"/>
      <c r="CP997" s="807"/>
      <c r="CQ997" s="807"/>
      <c r="CR997" s="807"/>
      <c r="CS997" s="807"/>
    </row>
    <row r="998" spans="1:97" s="35" customFormat="1" ht="12.75" customHeight="1">
      <c r="A998" s="774"/>
      <c r="B998" s="124"/>
      <c r="C998" s="885"/>
      <c r="D998" s="1662"/>
      <c r="E998" s="1663"/>
      <c r="F998" s="1663"/>
      <c r="G998" s="1663"/>
      <c r="H998" s="1663"/>
      <c r="I998" s="1663"/>
      <c r="J998" s="1663"/>
      <c r="K998" s="1663"/>
      <c r="L998" s="1663"/>
      <c r="M998" s="1663"/>
      <c r="N998" s="1663"/>
      <c r="O998" s="1663"/>
      <c r="P998" s="1663"/>
      <c r="Q998" s="1663"/>
      <c r="R998" s="1663"/>
      <c r="S998" s="1663"/>
      <c r="T998" s="1663"/>
      <c r="U998" s="1663"/>
      <c r="V998" s="1663"/>
      <c r="W998" s="1663"/>
      <c r="X998" s="1663"/>
      <c r="Y998" s="1663"/>
      <c r="Z998" s="1663"/>
      <c r="AA998" s="1663"/>
      <c r="AB998" s="1663"/>
      <c r="AC998" s="1663"/>
      <c r="AD998" s="1663"/>
      <c r="AE998" s="1664"/>
      <c r="AF998" s="124"/>
      <c r="AG998" s="125"/>
      <c r="AH998" s="125"/>
      <c r="AI998" s="129"/>
      <c r="AJ998" s="1656"/>
      <c r="AK998" s="1657"/>
      <c r="AL998" s="1657"/>
      <c r="AM998" s="1657"/>
      <c r="AN998" s="1657"/>
      <c r="AO998" s="1657"/>
      <c r="AP998" s="1657"/>
      <c r="AQ998" s="1658"/>
      <c r="AR998" s="807"/>
      <c r="AS998" s="807"/>
      <c r="AT998" s="807"/>
      <c r="AU998" s="807"/>
      <c r="AV998" s="807"/>
      <c r="AW998" s="807"/>
      <c r="AX998" s="807"/>
      <c r="AY998" s="807"/>
      <c r="AZ998" s="807"/>
      <c r="BA998" s="807"/>
      <c r="BB998" s="807"/>
      <c r="BC998" s="807"/>
      <c r="BD998" s="807"/>
      <c r="BE998" s="807"/>
      <c r="BF998" s="807"/>
      <c r="BG998" s="807"/>
      <c r="BH998" s="807"/>
      <c r="BI998" s="807"/>
      <c r="BJ998" s="807"/>
      <c r="BK998" s="807"/>
      <c r="BL998" s="807"/>
      <c r="BM998" s="807"/>
      <c r="BN998" s="807"/>
      <c r="BO998" s="807"/>
      <c r="BP998" s="807"/>
      <c r="BQ998" s="807"/>
      <c r="BR998" s="807"/>
      <c r="BS998" s="807"/>
      <c r="BT998" s="807"/>
      <c r="BU998" s="807"/>
      <c r="BV998" s="807"/>
      <c r="BW998" s="807"/>
      <c r="BX998" s="807"/>
      <c r="BY998" s="807"/>
      <c r="BZ998" s="807"/>
      <c r="CA998" s="807"/>
      <c r="CB998" s="807"/>
      <c r="CC998" s="807"/>
      <c r="CD998" s="807"/>
      <c r="CE998" s="807"/>
      <c r="CF998" s="807"/>
      <c r="CG998" s="807"/>
      <c r="CH998" s="807"/>
      <c r="CI998" s="807"/>
      <c r="CJ998" s="807"/>
      <c r="CK998" s="807"/>
      <c r="CL998" s="807"/>
      <c r="CM998" s="807"/>
      <c r="CN998" s="807"/>
      <c r="CO998" s="807"/>
      <c r="CP998" s="807"/>
      <c r="CQ998" s="807"/>
      <c r="CR998" s="807"/>
      <c r="CS998" s="807"/>
    </row>
    <row r="999" spans="1:97" s="35" customFormat="1" ht="12.75" customHeight="1">
      <c r="A999" s="774"/>
      <c r="B999" s="124"/>
      <c r="C999" s="885"/>
      <c r="D999" s="1665"/>
      <c r="E999" s="1666"/>
      <c r="F999" s="1666"/>
      <c r="G999" s="1666"/>
      <c r="H999" s="1666"/>
      <c r="I999" s="1666"/>
      <c r="J999" s="1666"/>
      <c r="K999" s="1666"/>
      <c r="L999" s="1666"/>
      <c r="M999" s="1666"/>
      <c r="N999" s="1666"/>
      <c r="O999" s="1666"/>
      <c r="P999" s="1666"/>
      <c r="Q999" s="1666"/>
      <c r="R999" s="1666"/>
      <c r="S999" s="1666"/>
      <c r="T999" s="1666"/>
      <c r="U999" s="1666"/>
      <c r="V999" s="1666"/>
      <c r="W999" s="1666"/>
      <c r="X999" s="1666"/>
      <c r="Y999" s="1666"/>
      <c r="Z999" s="1666"/>
      <c r="AA999" s="1666"/>
      <c r="AB999" s="1666"/>
      <c r="AC999" s="1666"/>
      <c r="AD999" s="1666"/>
      <c r="AE999" s="1667"/>
      <c r="AF999" s="124"/>
      <c r="AG999" s="125"/>
      <c r="AH999" s="125"/>
      <c r="AI999" s="129"/>
      <c r="AJ999" s="1659"/>
      <c r="AK999" s="1660"/>
      <c r="AL999" s="1660"/>
      <c r="AM999" s="1660"/>
      <c r="AN999" s="1660"/>
      <c r="AO999" s="1660"/>
      <c r="AP999" s="1660"/>
      <c r="AQ999" s="1661"/>
      <c r="AR999" s="807"/>
      <c r="AS999" s="807"/>
      <c r="AT999" s="807"/>
      <c r="AU999" s="807"/>
      <c r="AV999" s="807"/>
      <c r="AW999" s="807"/>
      <c r="AX999" s="807"/>
      <c r="AY999" s="807"/>
      <c r="AZ999" s="807"/>
      <c r="BA999" s="807"/>
      <c r="BB999" s="807"/>
      <c r="BC999" s="807"/>
      <c r="BD999" s="807"/>
      <c r="BE999" s="807"/>
      <c r="BF999" s="807"/>
      <c r="BG999" s="807"/>
      <c r="BH999" s="807"/>
      <c r="BI999" s="807"/>
      <c r="BJ999" s="807"/>
      <c r="BK999" s="807"/>
      <c r="BL999" s="807"/>
      <c r="BM999" s="807"/>
      <c r="BN999" s="807"/>
      <c r="BO999" s="807"/>
      <c r="BP999" s="807"/>
      <c r="BQ999" s="807"/>
      <c r="BR999" s="807"/>
      <c r="BS999" s="807"/>
      <c r="BT999" s="807"/>
      <c r="BU999" s="807"/>
      <c r="BV999" s="807"/>
      <c r="BW999" s="807"/>
      <c r="BX999" s="807"/>
      <c r="BY999" s="807"/>
      <c r="BZ999" s="807"/>
      <c r="CA999" s="807"/>
      <c r="CB999" s="807"/>
      <c r="CC999" s="807"/>
      <c r="CD999" s="807"/>
      <c r="CE999" s="807"/>
      <c r="CF999" s="807"/>
      <c r="CG999" s="807"/>
      <c r="CH999" s="807"/>
      <c r="CI999" s="807"/>
      <c r="CJ999" s="807"/>
      <c r="CK999" s="807"/>
      <c r="CL999" s="807"/>
      <c r="CM999" s="807"/>
      <c r="CN999" s="807"/>
      <c r="CO999" s="807"/>
      <c r="CP999" s="807"/>
      <c r="CQ999" s="807"/>
      <c r="CR999" s="807"/>
      <c r="CS999" s="807"/>
    </row>
    <row r="1000" spans="1:97" s="35" customFormat="1" ht="12.75" customHeight="1">
      <c r="A1000" s="774"/>
      <c r="B1000" s="304"/>
      <c r="C1000" s="1488"/>
      <c r="D1000" s="1715" t="s">
        <v>820</v>
      </c>
      <c r="E1000" s="1715"/>
      <c r="F1000" s="1715"/>
      <c r="G1000" s="1715"/>
      <c r="H1000" s="1715"/>
      <c r="I1000" s="1715"/>
      <c r="J1000" s="1715"/>
      <c r="K1000" s="1715"/>
      <c r="L1000" s="1715"/>
      <c r="M1000" s="1715"/>
      <c r="N1000" s="1715"/>
      <c r="O1000" s="1715"/>
      <c r="P1000" s="1715"/>
      <c r="Q1000" s="1715"/>
      <c r="R1000" s="1715"/>
      <c r="S1000" s="1715"/>
      <c r="T1000" s="1715"/>
      <c r="U1000" s="1715"/>
      <c r="V1000" s="1715"/>
      <c r="W1000" s="1715"/>
      <c r="X1000" s="1715"/>
      <c r="Y1000" s="1715"/>
      <c r="Z1000" s="1715"/>
      <c r="AA1000" s="1715"/>
      <c r="AB1000" s="1715"/>
      <c r="AC1000" s="1715"/>
      <c r="AD1000" s="1715"/>
      <c r="AE1000" s="1715"/>
      <c r="AF1000" s="1715"/>
      <c r="AG1000" s="1715"/>
      <c r="AH1000" s="1715"/>
      <c r="AI1000" s="1716"/>
      <c r="AJ1000" s="1717">
        <f>SUM(AJ951:AQ999)</f>
        <v>16571512.640000001</v>
      </c>
      <c r="AK1000" s="1718"/>
      <c r="AL1000" s="1718"/>
      <c r="AM1000" s="1718"/>
      <c r="AN1000" s="1718"/>
      <c r="AO1000" s="1718"/>
      <c r="AP1000" s="1718"/>
      <c r="AQ1000" s="1719"/>
      <c r="AR1000" s="807"/>
      <c r="AS1000" s="807"/>
      <c r="AT1000" s="807"/>
      <c r="AU1000" s="807"/>
      <c r="AV1000" s="807"/>
      <c r="AW1000" s="807"/>
      <c r="AX1000" s="807"/>
      <c r="AY1000" s="807"/>
      <c r="AZ1000" s="807"/>
      <c r="BA1000" s="807"/>
      <c r="BB1000" s="807"/>
      <c r="BC1000" s="807"/>
      <c r="BD1000" s="807"/>
      <c r="BE1000" s="807"/>
      <c r="BF1000" s="807"/>
      <c r="BG1000" s="807"/>
      <c r="BH1000" s="807"/>
      <c r="BI1000" s="807"/>
      <c r="BJ1000" s="807"/>
      <c r="BK1000" s="807"/>
      <c r="BL1000" s="807"/>
      <c r="BM1000" s="807"/>
      <c r="BN1000" s="807"/>
      <c r="BO1000" s="807"/>
      <c r="BP1000" s="807"/>
      <c r="BQ1000" s="807"/>
      <c r="BR1000" s="807"/>
      <c r="BS1000" s="807"/>
      <c r="BT1000" s="807"/>
      <c r="BU1000" s="807"/>
      <c r="BV1000" s="807"/>
      <c r="BW1000" s="807"/>
      <c r="BX1000" s="807"/>
      <c r="BY1000" s="807"/>
      <c r="BZ1000" s="807"/>
      <c r="CA1000" s="807"/>
      <c r="CB1000" s="807"/>
      <c r="CC1000" s="807"/>
      <c r="CD1000" s="807"/>
      <c r="CE1000" s="807"/>
      <c r="CF1000" s="807"/>
      <c r="CG1000" s="807"/>
      <c r="CH1000" s="807"/>
      <c r="CI1000" s="807"/>
      <c r="CJ1000" s="807"/>
      <c r="CK1000" s="807"/>
      <c r="CL1000" s="807"/>
      <c r="CM1000" s="807"/>
      <c r="CN1000" s="807"/>
      <c r="CO1000" s="807"/>
      <c r="CP1000" s="807"/>
      <c r="CQ1000" s="807"/>
      <c r="CR1000" s="807"/>
      <c r="CS1000" s="807"/>
    </row>
    <row r="1001" spans="1:97" s="35" customFormat="1" ht="12.75" customHeight="1">
      <c r="A1001" s="774"/>
      <c r="B1001" s="125"/>
      <c r="C1001" s="584"/>
      <c r="D1001" s="585"/>
      <c r="E1001" s="585"/>
      <c r="F1001" s="585"/>
      <c r="G1001" s="585"/>
      <c r="H1001" s="585"/>
      <c r="I1001" s="585"/>
      <c r="J1001" s="585"/>
      <c r="K1001" s="585"/>
      <c r="L1001" s="585"/>
      <c r="M1001" s="585"/>
      <c r="N1001" s="585"/>
      <c r="O1001" s="585"/>
      <c r="P1001" s="585"/>
      <c r="Q1001" s="585"/>
      <c r="R1001" s="585"/>
      <c r="S1001" s="585"/>
      <c r="T1001" s="585"/>
      <c r="U1001" s="585"/>
      <c r="V1001" s="585"/>
      <c r="W1001" s="585"/>
      <c r="X1001" s="585"/>
      <c r="Y1001" s="585"/>
      <c r="Z1001" s="585"/>
      <c r="AA1001" s="585"/>
      <c r="AB1001" s="585"/>
      <c r="AC1001" s="585"/>
      <c r="AD1001" s="586"/>
      <c r="AE1001" s="586"/>
      <c r="AF1001" s="586"/>
      <c r="AG1001" s="586"/>
      <c r="AH1001" s="586"/>
      <c r="AI1001" s="586"/>
      <c r="AJ1001" s="586"/>
      <c r="AK1001" s="586"/>
      <c r="AM1001" s="807"/>
      <c r="AN1001" s="807"/>
      <c r="AO1001" s="807"/>
      <c r="AP1001" s="807"/>
      <c r="AQ1001" s="807"/>
      <c r="AR1001" s="807"/>
      <c r="AS1001" s="807"/>
      <c r="AT1001" s="807"/>
      <c r="AU1001" s="807"/>
      <c r="AV1001" s="807"/>
      <c r="AW1001" s="807"/>
      <c r="AX1001" s="807"/>
      <c r="AY1001" s="807"/>
      <c r="AZ1001" s="807"/>
      <c r="BA1001" s="807"/>
      <c r="BB1001" s="807"/>
      <c r="BC1001" s="807"/>
      <c r="BD1001" s="807"/>
      <c r="BE1001" s="807"/>
      <c r="BF1001" s="807"/>
      <c r="BG1001" s="807"/>
      <c r="BH1001" s="807"/>
      <c r="BI1001" s="807"/>
      <c r="BJ1001" s="807"/>
      <c r="BK1001" s="807"/>
      <c r="BL1001" s="807"/>
      <c r="BM1001" s="807"/>
      <c r="BN1001" s="807"/>
      <c r="BO1001" s="807"/>
      <c r="BP1001" s="807"/>
      <c r="BQ1001" s="807"/>
      <c r="BR1001" s="807"/>
      <c r="BS1001" s="807"/>
      <c r="BT1001" s="807"/>
      <c r="BU1001" s="807"/>
      <c r="BV1001" s="807"/>
      <c r="BW1001" s="807"/>
      <c r="BX1001" s="807"/>
      <c r="BY1001" s="807"/>
      <c r="BZ1001" s="807"/>
      <c r="CA1001" s="807"/>
      <c r="CB1001" s="807"/>
      <c r="CC1001" s="807"/>
      <c r="CD1001" s="807"/>
      <c r="CE1001" s="807"/>
      <c r="CF1001" s="807"/>
      <c r="CG1001" s="807"/>
      <c r="CH1001" s="807"/>
      <c r="CI1001" s="807"/>
      <c r="CJ1001" s="807"/>
      <c r="CK1001" s="807"/>
      <c r="CL1001" s="807"/>
      <c r="CM1001" s="807"/>
      <c r="CN1001" s="807"/>
      <c r="CO1001" s="807"/>
      <c r="CP1001" s="807"/>
      <c r="CQ1001" s="807"/>
      <c r="CR1001" s="807"/>
      <c r="CS1001" s="807"/>
    </row>
    <row r="1002" spans="1:97" ht="12.75" customHeight="1">
      <c r="A1002" s="134"/>
      <c r="B1002" s="125"/>
      <c r="C1002" s="584"/>
      <c r="D1002" s="585"/>
      <c r="E1002" s="585"/>
      <c r="F1002" s="585"/>
      <c r="G1002" s="585"/>
      <c r="H1002" s="585"/>
      <c r="I1002" s="585"/>
      <c r="J1002" s="585"/>
      <c r="K1002" s="585"/>
      <c r="L1002" s="585"/>
      <c r="M1002" s="585"/>
      <c r="N1002" s="585"/>
      <c r="O1002" s="585"/>
      <c r="P1002" s="585"/>
      <c r="Q1002" s="585"/>
      <c r="R1002" s="585"/>
      <c r="S1002" s="585"/>
      <c r="T1002" s="585"/>
      <c r="U1002" s="585"/>
      <c r="V1002" s="585"/>
      <c r="W1002" s="585"/>
      <c r="X1002" s="585"/>
      <c r="Y1002" s="585"/>
      <c r="Z1002" s="585"/>
      <c r="AA1002" s="585"/>
      <c r="AB1002" s="585"/>
      <c r="AC1002" s="585"/>
      <c r="AD1002" s="586"/>
      <c r="AE1002" s="586"/>
      <c r="AF1002" s="586"/>
      <c r="AG1002" s="586"/>
      <c r="AH1002" s="586"/>
      <c r="AI1002" s="586"/>
      <c r="AJ1002" s="586"/>
      <c r="AK1002" s="586"/>
      <c r="AM1002" s="75"/>
      <c r="AN1002" s="75"/>
      <c r="AO1002" s="75"/>
      <c r="AP1002" s="75"/>
      <c r="AQ1002" s="75"/>
      <c r="AR1002" s="75"/>
      <c r="AS1002" s="75"/>
      <c r="AT1002" s="75"/>
      <c r="AU1002" s="75"/>
      <c r="AV1002" s="75"/>
      <c r="AW1002" s="75"/>
      <c r="AX1002" s="75"/>
      <c r="AY1002" s="75"/>
      <c r="AZ1002" s="75"/>
      <c r="BA1002" s="75"/>
      <c r="BB1002" s="75"/>
      <c r="BC1002" s="75"/>
      <c r="BD1002" s="75"/>
      <c r="BE1002" s="75"/>
      <c r="BF1002" s="75"/>
      <c r="BG1002" s="75"/>
      <c r="BH1002" s="75"/>
      <c r="BI1002" s="75"/>
      <c r="BJ1002" s="75"/>
      <c r="BK1002" s="75"/>
      <c r="BL1002" s="75"/>
      <c r="BM1002" s="75"/>
      <c r="BN1002" s="75"/>
      <c r="BO1002" s="75"/>
      <c r="BP1002" s="75"/>
      <c r="BQ1002" s="75"/>
      <c r="BR1002" s="75"/>
      <c r="BS1002" s="75"/>
      <c r="BT1002" s="75"/>
      <c r="BU1002" s="75"/>
      <c r="BV1002" s="75"/>
      <c r="BW1002" s="75"/>
      <c r="BX1002" s="75"/>
      <c r="BY1002" s="75"/>
      <c r="BZ1002" s="75"/>
      <c r="CA1002" s="75"/>
      <c r="CB1002" s="75"/>
      <c r="CC1002" s="75"/>
      <c r="CD1002" s="75"/>
      <c r="CE1002" s="75"/>
      <c r="CF1002" s="75"/>
      <c r="CG1002" s="75"/>
      <c r="CH1002" s="75"/>
      <c r="CI1002" s="75"/>
      <c r="CJ1002" s="75"/>
      <c r="CK1002" s="75"/>
      <c r="CL1002" s="75"/>
      <c r="CM1002" s="75"/>
      <c r="CN1002" s="75"/>
      <c r="CO1002" s="75"/>
      <c r="CP1002" s="75"/>
      <c r="CQ1002" s="75"/>
      <c r="CR1002" s="75"/>
      <c r="CS1002" s="75"/>
    </row>
    <row r="1003" spans="1:97" ht="12.75" customHeight="1">
      <c r="A1003" s="134"/>
      <c r="B1003" s="125"/>
      <c r="C1003" s="584"/>
      <c r="D1003" s="587" t="s">
        <v>1162</v>
      </c>
      <c r="E1003" s="588"/>
      <c r="F1003" s="588"/>
      <c r="G1003" s="588"/>
      <c r="H1003" s="588"/>
      <c r="I1003" s="588"/>
      <c r="J1003" s="588"/>
      <c r="K1003" s="588"/>
      <c r="L1003" s="588"/>
      <c r="M1003" s="588"/>
      <c r="N1003" s="588"/>
      <c r="O1003" s="588"/>
      <c r="P1003" s="588"/>
      <c r="Q1003" s="588"/>
      <c r="R1003" s="588"/>
      <c r="S1003" s="588"/>
      <c r="T1003" s="588"/>
      <c r="U1003" s="588"/>
      <c r="V1003" s="588"/>
      <c r="W1003" s="588"/>
      <c r="X1003" s="588"/>
      <c r="Y1003" s="588"/>
      <c r="Z1003" s="588"/>
      <c r="AA1003" s="588"/>
      <c r="AB1003" s="588"/>
      <c r="AC1003" s="588"/>
      <c r="AD1003" s="586"/>
      <c r="AE1003" s="586"/>
      <c r="AF1003" s="586"/>
      <c r="AG1003" s="586"/>
      <c r="AH1003" s="586"/>
      <c r="AI1003" s="586"/>
      <c r="AJ1003" s="586"/>
      <c r="AK1003" s="586"/>
      <c r="AM1003" s="75"/>
      <c r="AN1003" s="75"/>
      <c r="AO1003" s="75"/>
      <c r="AP1003" s="75"/>
      <c r="AQ1003" s="75"/>
      <c r="AR1003" s="75"/>
      <c r="AS1003" s="75"/>
      <c r="AT1003" s="75"/>
      <c r="AU1003" s="75"/>
      <c r="AV1003" s="75"/>
      <c r="AW1003" s="75"/>
      <c r="AX1003" s="75"/>
      <c r="AY1003" s="75"/>
      <c r="AZ1003" s="75"/>
      <c r="BA1003" s="75"/>
      <c r="BB1003" s="75"/>
      <c r="BC1003" s="75"/>
      <c r="BD1003" s="75"/>
      <c r="BE1003" s="75"/>
      <c r="BF1003" s="75"/>
      <c r="BG1003" s="75"/>
      <c r="BH1003" s="75"/>
      <c r="BI1003" s="75"/>
      <c r="BJ1003" s="75"/>
      <c r="BK1003" s="75"/>
      <c r="BL1003" s="75"/>
      <c r="BM1003" s="75"/>
      <c r="BN1003" s="75"/>
      <c r="BO1003" s="75"/>
      <c r="BP1003" s="75"/>
      <c r="BQ1003" s="75"/>
      <c r="BR1003" s="75"/>
      <c r="BS1003" s="75"/>
      <c r="BT1003" s="75"/>
      <c r="BU1003" s="75"/>
      <c r="BV1003" s="75"/>
      <c r="BW1003" s="75"/>
      <c r="BX1003" s="75"/>
      <c r="BY1003" s="75"/>
      <c r="BZ1003" s="75"/>
      <c r="CA1003" s="75"/>
      <c r="CB1003" s="75"/>
      <c r="CC1003" s="75"/>
      <c r="CD1003" s="75"/>
      <c r="CE1003" s="75"/>
      <c r="CF1003" s="75"/>
      <c r="CG1003" s="75"/>
      <c r="CH1003" s="75"/>
      <c r="CI1003" s="75"/>
      <c r="CJ1003" s="75"/>
      <c r="CK1003" s="75"/>
      <c r="CL1003" s="75"/>
      <c r="CM1003" s="75"/>
      <c r="CN1003" s="75"/>
      <c r="CO1003" s="75"/>
      <c r="CP1003" s="75"/>
      <c r="CQ1003" s="75"/>
      <c r="CR1003" s="75"/>
      <c r="CS1003" s="75"/>
    </row>
    <row r="1004" spans="1:97" ht="12.75" customHeight="1">
      <c r="A1004" s="134"/>
      <c r="B1004" s="125"/>
      <c r="C1004" s="584"/>
      <c r="D1004" s="589" t="s">
        <v>1156</v>
      </c>
      <c r="E1004" s="590"/>
      <c r="F1004" s="590"/>
      <c r="G1004" s="590"/>
      <c r="H1004" s="590"/>
      <c r="I1004" s="590"/>
      <c r="J1004" s="590"/>
      <c r="K1004" s="590"/>
      <c r="L1004" s="590"/>
      <c r="M1004" s="590"/>
      <c r="N1004" s="590"/>
      <c r="O1004" s="590"/>
      <c r="P1004" s="590"/>
      <c r="Q1004" s="590"/>
      <c r="R1004" s="590"/>
      <c r="S1004" s="590"/>
      <c r="T1004" s="590"/>
      <c r="U1004" s="590"/>
      <c r="V1004" s="590"/>
      <c r="W1004" s="590"/>
      <c r="X1004" s="2121">
        <f>'Sources and Uses Budget'!S106+'Sources and Uses Budget'!T106</f>
        <v>21480995</v>
      </c>
      <c r="Y1004" s="2121"/>
      <c r="Z1004" s="2121"/>
      <c r="AA1004" s="2121"/>
      <c r="AB1004" s="2121"/>
      <c r="AC1004" s="2121"/>
      <c r="AD1004" s="586"/>
      <c r="AE1004" s="586"/>
      <c r="AF1004" s="586"/>
      <c r="AG1004" s="586"/>
      <c r="AH1004" s="586"/>
      <c r="AI1004" s="586"/>
      <c r="AJ1004" s="586"/>
      <c r="AK1004" s="586"/>
      <c r="AM1004" s="75"/>
      <c r="AN1004" s="75"/>
      <c r="AO1004" s="75"/>
      <c r="AP1004" s="75"/>
      <c r="AQ1004" s="75"/>
      <c r="AR1004" s="75"/>
      <c r="AS1004" s="75"/>
      <c r="AT1004" s="75"/>
      <c r="AU1004" s="75"/>
      <c r="AV1004" s="75"/>
      <c r="AW1004" s="75"/>
      <c r="AX1004" s="75"/>
      <c r="AY1004" s="75"/>
      <c r="AZ1004" s="75"/>
      <c r="BA1004" s="75"/>
      <c r="BB1004" s="75"/>
      <c r="BC1004" s="75"/>
      <c r="BD1004" s="75"/>
      <c r="BE1004" s="75"/>
      <c r="BF1004" s="75"/>
      <c r="BG1004" s="75"/>
      <c r="BH1004" s="75"/>
      <c r="BI1004" s="75"/>
      <c r="BJ1004" s="75"/>
      <c r="BK1004" s="75"/>
      <c r="BL1004" s="75"/>
      <c r="BM1004" s="75"/>
      <c r="BN1004" s="75"/>
      <c r="BO1004" s="75"/>
      <c r="BP1004" s="75"/>
      <c r="BQ1004" s="75"/>
      <c r="BR1004" s="75"/>
      <c r="BS1004" s="75"/>
      <c r="BT1004" s="75"/>
      <c r="BU1004" s="75"/>
      <c r="BV1004" s="75"/>
      <c r="BW1004" s="75"/>
      <c r="BX1004" s="75"/>
      <c r="BY1004" s="75"/>
      <c r="BZ1004" s="75"/>
      <c r="CA1004" s="75"/>
      <c r="CB1004" s="75"/>
      <c r="CC1004" s="75"/>
      <c r="CD1004" s="75"/>
      <c r="CE1004" s="75"/>
      <c r="CF1004" s="75"/>
      <c r="CG1004" s="75"/>
      <c r="CH1004" s="75"/>
      <c r="CI1004" s="75"/>
      <c r="CJ1004" s="75"/>
      <c r="CK1004" s="75"/>
      <c r="CL1004" s="75"/>
      <c r="CM1004" s="75"/>
      <c r="CN1004" s="75"/>
      <c r="CO1004" s="75"/>
      <c r="CP1004" s="75"/>
      <c r="CQ1004" s="75"/>
      <c r="CR1004" s="75"/>
      <c r="CS1004" s="75"/>
    </row>
    <row r="1005" spans="1:97" ht="12.75" customHeight="1">
      <c r="A1005" s="134"/>
      <c r="B1005" s="125"/>
      <c r="C1005" s="584"/>
      <c r="D1005" s="589"/>
      <c r="E1005" s="589" t="s">
        <v>1160</v>
      </c>
      <c r="F1005" s="590"/>
      <c r="G1005" s="590"/>
      <c r="H1005" s="590"/>
      <c r="I1005" s="590"/>
      <c r="J1005" s="590"/>
      <c r="K1005" s="590"/>
      <c r="L1005" s="590"/>
      <c r="M1005" s="590"/>
      <c r="N1005" s="590"/>
      <c r="O1005" s="590"/>
      <c r="P1005" s="590"/>
      <c r="Q1005" s="590"/>
      <c r="R1005" s="590"/>
      <c r="S1005" s="590"/>
      <c r="T1005" s="590"/>
      <c r="U1005" s="590"/>
      <c r="V1005" s="590"/>
      <c r="W1005" s="590"/>
      <c r="X1005" s="2114">
        <f>X1004/AJ1000</f>
        <v>1.2962603635922521</v>
      </c>
      <c r="Y1005" s="2115"/>
      <c r="Z1005" s="2115"/>
      <c r="AA1005" s="2115"/>
      <c r="AB1005" s="2115"/>
      <c r="AC1005" s="2116"/>
      <c r="AD1005" s="586"/>
      <c r="AE1005" s="586"/>
      <c r="AF1005" s="586"/>
      <c r="AG1005" s="586"/>
      <c r="AH1005" s="586"/>
      <c r="AI1005" s="586"/>
      <c r="AJ1005" s="586"/>
      <c r="AK1005" s="586"/>
      <c r="AM1005" s="75"/>
      <c r="AN1005" s="75"/>
      <c r="AO1005" s="75"/>
      <c r="AP1005" s="75"/>
      <c r="AQ1005" s="75"/>
      <c r="AR1005" s="75"/>
      <c r="AS1005" s="75"/>
      <c r="AT1005" s="75"/>
      <c r="AU1005" s="75"/>
      <c r="AV1005" s="75"/>
      <c r="AW1005" s="75"/>
      <c r="AX1005" s="75"/>
      <c r="AY1005" s="75"/>
      <c r="AZ1005" s="75"/>
      <c r="BA1005" s="75"/>
      <c r="BB1005" s="75"/>
      <c r="BC1005" s="75"/>
      <c r="BD1005" s="75"/>
      <c r="BE1005" s="75"/>
      <c r="BF1005" s="75"/>
      <c r="BG1005" s="75"/>
      <c r="BH1005" s="75"/>
      <c r="BI1005" s="75"/>
      <c r="BJ1005" s="75"/>
      <c r="BK1005" s="75"/>
      <c r="BL1005" s="75"/>
      <c r="BM1005" s="75"/>
      <c r="BN1005" s="75"/>
      <c r="BO1005" s="75"/>
      <c r="BP1005" s="75"/>
      <c r="BQ1005" s="75"/>
      <c r="BR1005" s="75"/>
      <c r="BS1005" s="75"/>
      <c r="BT1005" s="75"/>
      <c r="BU1005" s="75"/>
      <c r="BV1005" s="75"/>
      <c r="BW1005" s="75"/>
      <c r="BX1005" s="75"/>
      <c r="BY1005" s="75"/>
      <c r="BZ1005" s="75"/>
      <c r="CA1005" s="75"/>
      <c r="CB1005" s="75"/>
      <c r="CC1005" s="75"/>
      <c r="CD1005" s="75"/>
      <c r="CE1005" s="75"/>
      <c r="CF1005" s="75"/>
      <c r="CG1005" s="75"/>
      <c r="CH1005" s="75"/>
      <c r="CI1005" s="75"/>
      <c r="CJ1005" s="75"/>
      <c r="CK1005" s="75"/>
      <c r="CL1005" s="75"/>
      <c r="CM1005" s="75"/>
      <c r="CN1005" s="75"/>
      <c r="CO1005" s="75"/>
      <c r="CP1005" s="75"/>
      <c r="CQ1005" s="75"/>
      <c r="CR1005" s="75"/>
      <c r="CS1005" s="75"/>
    </row>
    <row r="1006" spans="1:97" ht="12.75" customHeight="1">
      <c r="A1006" s="134"/>
      <c r="B1006" s="125"/>
      <c r="C1006" s="584"/>
      <c r="D1006" s="2190" t="str">
        <f>IF(X1005&gt;=1.3,"Based on information presented in this application, this project is designated as high cost under TCAC Regulation Section 10325(d). Please refer to TCAC regulations for requirements related to high cost projects.","Based on information presented in this application, this project is not held to TCAC regulation requirements for high cost projects.")</f>
        <v>Based on information presented in this application, this project is not held to TCAC regulation requirements for high cost projects.</v>
      </c>
      <c r="E1006" s="2190"/>
      <c r="F1006" s="2190"/>
      <c r="G1006" s="2190"/>
      <c r="H1006" s="2190"/>
      <c r="I1006" s="2190"/>
      <c r="J1006" s="2190"/>
      <c r="K1006" s="2190"/>
      <c r="L1006" s="2190"/>
      <c r="M1006" s="2190"/>
      <c r="N1006" s="2190"/>
      <c r="O1006" s="2190"/>
      <c r="P1006" s="2190"/>
      <c r="Q1006" s="2190"/>
      <c r="R1006" s="2190"/>
      <c r="S1006" s="2190"/>
      <c r="T1006" s="2190"/>
      <c r="U1006" s="2190"/>
      <c r="V1006" s="2190"/>
      <c r="W1006" s="2190"/>
      <c r="X1006" s="2190"/>
      <c r="Y1006" s="2190"/>
      <c r="Z1006" s="2190"/>
      <c r="AA1006" s="2190"/>
      <c r="AB1006" s="2190"/>
      <c r="AC1006" s="2190"/>
      <c r="AD1006" s="2190"/>
      <c r="AE1006" s="2190"/>
      <c r="AF1006" s="2190"/>
      <c r="AG1006" s="2190"/>
      <c r="AH1006" s="2190"/>
      <c r="AI1006" s="2190"/>
      <c r="AJ1006" s="2190"/>
      <c r="AK1006" s="2190"/>
      <c r="AM1006" s="75"/>
      <c r="AN1006" s="75"/>
      <c r="AO1006" s="75"/>
      <c r="AP1006" s="75"/>
      <c r="AQ1006" s="75"/>
      <c r="AR1006" s="75"/>
      <c r="AS1006" s="75"/>
      <c r="AT1006" s="75"/>
      <c r="AU1006" s="75"/>
      <c r="AV1006" s="75"/>
      <c r="AW1006" s="75"/>
      <c r="AX1006" s="75"/>
      <c r="AY1006" s="75"/>
      <c r="AZ1006" s="75"/>
      <c r="BA1006" s="75"/>
      <c r="BB1006" s="75"/>
      <c r="BC1006" s="75"/>
      <c r="BD1006" s="75"/>
      <c r="BE1006" s="75"/>
      <c r="BF1006" s="75"/>
      <c r="BG1006" s="75"/>
      <c r="BH1006" s="75"/>
      <c r="BI1006" s="75"/>
      <c r="BJ1006" s="75"/>
      <c r="BK1006" s="75"/>
      <c r="BL1006" s="75"/>
      <c r="BM1006" s="75"/>
      <c r="BN1006" s="75"/>
      <c r="BO1006" s="75"/>
      <c r="BP1006" s="75"/>
      <c r="BQ1006" s="75"/>
      <c r="BR1006" s="75"/>
      <c r="BS1006" s="75"/>
      <c r="BT1006" s="75"/>
      <c r="BU1006" s="75"/>
      <c r="BV1006" s="75"/>
      <c r="BW1006" s="75"/>
      <c r="BX1006" s="75"/>
      <c r="BY1006" s="75"/>
      <c r="BZ1006" s="75"/>
      <c r="CA1006" s="75"/>
      <c r="CB1006" s="75"/>
      <c r="CC1006" s="75"/>
      <c r="CD1006" s="75"/>
      <c r="CE1006" s="75"/>
      <c r="CF1006" s="75"/>
      <c r="CG1006" s="75"/>
      <c r="CH1006" s="75"/>
      <c r="CI1006" s="75"/>
      <c r="CJ1006" s="75"/>
      <c r="CK1006" s="75"/>
      <c r="CL1006" s="75"/>
      <c r="CM1006" s="75"/>
      <c r="CN1006" s="75"/>
      <c r="CO1006" s="75"/>
      <c r="CP1006" s="75"/>
      <c r="CQ1006" s="75"/>
      <c r="CR1006" s="75"/>
      <c r="CS1006" s="75"/>
    </row>
    <row r="1007" spans="1:97" ht="12.75" customHeight="1">
      <c r="A1007" s="134"/>
      <c r="B1007" s="125"/>
      <c r="C1007" s="584"/>
      <c r="D1007" s="2190"/>
      <c r="E1007" s="2190"/>
      <c r="F1007" s="2190"/>
      <c r="G1007" s="2190"/>
      <c r="H1007" s="2190"/>
      <c r="I1007" s="2190"/>
      <c r="J1007" s="2190"/>
      <c r="K1007" s="2190"/>
      <c r="L1007" s="2190"/>
      <c r="M1007" s="2190"/>
      <c r="N1007" s="2190"/>
      <c r="O1007" s="2190"/>
      <c r="P1007" s="2190"/>
      <c r="Q1007" s="2190"/>
      <c r="R1007" s="2190"/>
      <c r="S1007" s="2190"/>
      <c r="T1007" s="2190"/>
      <c r="U1007" s="2190"/>
      <c r="V1007" s="2190"/>
      <c r="W1007" s="2190"/>
      <c r="X1007" s="2190"/>
      <c r="Y1007" s="2190"/>
      <c r="Z1007" s="2190"/>
      <c r="AA1007" s="2190"/>
      <c r="AB1007" s="2190"/>
      <c r="AC1007" s="2190"/>
      <c r="AD1007" s="2190"/>
      <c r="AE1007" s="2190"/>
      <c r="AF1007" s="2190"/>
      <c r="AG1007" s="2190"/>
      <c r="AH1007" s="2190"/>
      <c r="AI1007" s="2190"/>
      <c r="AJ1007" s="2190"/>
      <c r="AK1007" s="2190"/>
      <c r="AM1007" s="75"/>
      <c r="AN1007" s="75"/>
      <c r="AO1007" s="75"/>
      <c r="AP1007" s="75"/>
      <c r="AQ1007" s="75"/>
      <c r="AR1007" s="75"/>
      <c r="AS1007" s="75"/>
      <c r="AT1007" s="75"/>
      <c r="AU1007" s="75"/>
      <c r="AV1007" s="75"/>
      <c r="AW1007" s="75"/>
      <c r="AX1007" s="75"/>
      <c r="AY1007" s="75"/>
      <c r="AZ1007" s="75"/>
      <c r="BA1007" s="75"/>
      <c r="BB1007" s="75"/>
      <c r="BC1007" s="75"/>
      <c r="BD1007" s="75"/>
      <c r="BE1007" s="75"/>
      <c r="BF1007" s="75"/>
      <c r="BG1007" s="75"/>
      <c r="BH1007" s="75"/>
      <c r="BI1007" s="75"/>
      <c r="BJ1007" s="75"/>
      <c r="BK1007" s="75"/>
      <c r="BL1007" s="75"/>
      <c r="BM1007" s="75"/>
      <c r="BN1007" s="75"/>
      <c r="BO1007" s="75"/>
      <c r="BP1007" s="75"/>
      <c r="BQ1007" s="75"/>
      <c r="BR1007" s="75"/>
      <c r="BS1007" s="75"/>
      <c r="BT1007" s="75"/>
      <c r="BU1007" s="75"/>
      <c r="BV1007" s="75"/>
      <c r="BW1007" s="75"/>
      <c r="BX1007" s="75"/>
      <c r="BY1007" s="75"/>
      <c r="BZ1007" s="75"/>
      <c r="CA1007" s="75"/>
      <c r="CB1007" s="75"/>
      <c r="CC1007" s="75"/>
      <c r="CD1007" s="75"/>
      <c r="CE1007" s="75"/>
      <c r="CF1007" s="75"/>
      <c r="CG1007" s="75"/>
      <c r="CH1007" s="75"/>
      <c r="CI1007" s="75"/>
      <c r="CJ1007" s="75"/>
      <c r="CK1007" s="75"/>
      <c r="CL1007" s="75"/>
      <c r="CM1007" s="75"/>
      <c r="CN1007" s="75"/>
      <c r="CO1007" s="75"/>
      <c r="CP1007" s="75"/>
      <c r="CQ1007" s="75"/>
      <c r="CR1007" s="75"/>
      <c r="CS1007" s="75"/>
    </row>
    <row r="1008" spans="1:97" ht="12.75" customHeight="1">
      <c r="A1008" s="134"/>
      <c r="C1008" s="584"/>
      <c r="D1008" s="2190"/>
      <c r="E1008" s="2190"/>
      <c r="F1008" s="2190"/>
      <c r="G1008" s="2190"/>
      <c r="H1008" s="2190"/>
      <c r="I1008" s="2190"/>
      <c r="J1008" s="2190"/>
      <c r="K1008" s="2190"/>
      <c r="L1008" s="2190"/>
      <c r="M1008" s="2190"/>
      <c r="N1008" s="2190"/>
      <c r="O1008" s="2190"/>
      <c r="P1008" s="2190"/>
      <c r="Q1008" s="2190"/>
      <c r="R1008" s="2190"/>
      <c r="S1008" s="2190"/>
      <c r="T1008" s="2190"/>
      <c r="U1008" s="2190"/>
      <c r="V1008" s="2190"/>
      <c r="W1008" s="2190"/>
      <c r="X1008" s="2190"/>
      <c r="Y1008" s="2190"/>
      <c r="Z1008" s="2190"/>
      <c r="AA1008" s="2190"/>
      <c r="AB1008" s="2190"/>
      <c r="AC1008" s="2190"/>
      <c r="AD1008" s="2190"/>
      <c r="AE1008" s="2190"/>
      <c r="AF1008" s="2190"/>
      <c r="AG1008" s="2190"/>
      <c r="AH1008" s="2190"/>
      <c r="AI1008" s="2190"/>
      <c r="AJ1008" s="2190"/>
      <c r="AK1008" s="2190"/>
      <c r="AM1008" s="75"/>
      <c r="AN1008" s="75"/>
      <c r="AO1008" s="75"/>
      <c r="AP1008" s="75"/>
      <c r="AQ1008" s="75"/>
      <c r="AR1008" s="75"/>
      <c r="AS1008" s="75"/>
      <c r="AT1008" s="75"/>
      <c r="AU1008" s="75"/>
      <c r="AV1008" s="75"/>
      <c r="AW1008" s="75"/>
      <c r="AX1008" s="75"/>
      <c r="AY1008" s="75"/>
      <c r="AZ1008" s="75"/>
      <c r="BA1008" s="75"/>
      <c r="BB1008" s="75"/>
      <c r="BC1008" s="75"/>
      <c r="BD1008" s="75"/>
      <c r="BE1008" s="75"/>
      <c r="BF1008" s="75"/>
      <c r="BG1008" s="75"/>
      <c r="BH1008" s="75"/>
      <c r="BI1008" s="75"/>
      <c r="BJ1008" s="75"/>
      <c r="BK1008" s="75"/>
      <c r="BL1008" s="75"/>
      <c r="BM1008" s="75"/>
      <c r="BN1008" s="75"/>
      <c r="BO1008" s="75"/>
      <c r="BP1008" s="75"/>
      <c r="BQ1008" s="75"/>
      <c r="BR1008" s="75"/>
      <c r="BS1008" s="75"/>
      <c r="BT1008" s="75"/>
      <c r="BU1008" s="75"/>
      <c r="BV1008" s="75"/>
      <c r="BW1008" s="75"/>
      <c r="BX1008" s="75"/>
      <c r="BY1008" s="75"/>
      <c r="BZ1008" s="75"/>
      <c r="CA1008" s="75"/>
      <c r="CB1008" s="75"/>
      <c r="CC1008" s="75"/>
      <c r="CD1008" s="75"/>
      <c r="CE1008" s="75"/>
      <c r="CF1008" s="75"/>
      <c r="CG1008" s="75"/>
      <c r="CH1008" s="75"/>
      <c r="CI1008" s="75"/>
      <c r="CJ1008" s="75"/>
      <c r="CK1008" s="75"/>
      <c r="CL1008" s="75"/>
      <c r="CM1008" s="75"/>
      <c r="CN1008" s="75"/>
      <c r="CO1008" s="75"/>
      <c r="CP1008" s="75"/>
      <c r="CQ1008" s="75"/>
      <c r="CR1008" s="75"/>
      <c r="CS1008" s="75"/>
    </row>
    <row r="1009" spans="1:97" ht="12.75" customHeight="1">
      <c r="A1009" s="134"/>
      <c r="B1009" s="2117" t="str">
        <f>IF(ISERROR(IF(AY928&gt;0.39,"If items (a)-(d) and (h) are selected, the total of these boosts cannot exceed 39% percentage of the Unadjusted Threshold Basis Limit","")),"",IF(AY928&gt;0.39,"If items (a)-(d) and (h) are selected, the total of these boosts cannot exceed 39% percentage of the Unadjusted Threshold Basis Limit",""))</f>
        <v/>
      </c>
      <c r="C1009" s="2117"/>
      <c r="D1009" s="2117"/>
      <c r="E1009" s="2117"/>
      <c r="F1009" s="2117"/>
      <c r="G1009" s="2117"/>
      <c r="H1009" s="2117"/>
      <c r="I1009" s="2117"/>
      <c r="J1009" s="2117"/>
      <c r="K1009" s="2117"/>
      <c r="L1009" s="2117"/>
      <c r="M1009" s="2117"/>
      <c r="N1009" s="2117"/>
      <c r="O1009" s="2117"/>
      <c r="P1009" s="2117"/>
      <c r="Q1009" s="2117"/>
      <c r="R1009" s="2117"/>
      <c r="S1009" s="2117"/>
      <c r="T1009" s="2117"/>
      <c r="U1009" s="2117"/>
      <c r="V1009" s="2117"/>
      <c r="W1009" s="2117"/>
      <c r="X1009" s="2117"/>
      <c r="Y1009" s="2117"/>
      <c r="Z1009" s="2117"/>
      <c r="AA1009" s="2117"/>
      <c r="AB1009" s="2117"/>
      <c r="AC1009" s="2117"/>
      <c r="AD1009" s="2117"/>
      <c r="AE1009" s="2117"/>
      <c r="AF1009" s="2117"/>
      <c r="AG1009" s="2117"/>
      <c r="AH1009" s="2117"/>
      <c r="AI1009" s="2117"/>
      <c r="AJ1009" s="2117"/>
      <c r="AK1009" s="2117"/>
      <c r="AM1009" s="75"/>
      <c r="AN1009" s="75"/>
      <c r="AO1009" s="75"/>
      <c r="AP1009" s="75"/>
      <c r="AQ1009" s="75"/>
      <c r="AR1009" s="75"/>
      <c r="AS1009" s="75"/>
      <c r="AT1009" s="75"/>
      <c r="AU1009" s="75"/>
      <c r="AV1009" s="75"/>
      <c r="AW1009" s="75"/>
      <c r="AX1009" s="75"/>
      <c r="AY1009" s="75"/>
      <c r="AZ1009" s="75"/>
      <c r="BA1009" s="75"/>
      <c r="BB1009" s="75"/>
      <c r="BC1009" s="75"/>
      <c r="BD1009" s="75"/>
      <c r="BE1009" s="75"/>
      <c r="BF1009" s="75"/>
      <c r="BG1009" s="75"/>
      <c r="BH1009" s="75"/>
      <c r="BI1009" s="75"/>
      <c r="BJ1009" s="75"/>
      <c r="BK1009" s="75"/>
      <c r="BL1009" s="75"/>
      <c r="BM1009" s="75"/>
      <c r="BN1009" s="75"/>
      <c r="BO1009" s="75"/>
      <c r="BP1009" s="75"/>
      <c r="BQ1009" s="75"/>
      <c r="BR1009" s="75"/>
      <c r="BS1009" s="75"/>
      <c r="BT1009" s="75"/>
      <c r="BU1009" s="75"/>
      <c r="BV1009" s="75"/>
      <c r="BW1009" s="75"/>
      <c r="BX1009" s="75"/>
      <c r="BY1009" s="75"/>
      <c r="BZ1009" s="75"/>
      <c r="CA1009" s="75"/>
      <c r="CB1009" s="75"/>
      <c r="CC1009" s="75"/>
      <c r="CD1009" s="75"/>
      <c r="CE1009" s="75"/>
      <c r="CF1009" s="75"/>
      <c r="CG1009" s="75"/>
      <c r="CH1009" s="75"/>
      <c r="CI1009" s="75"/>
      <c r="CJ1009" s="75"/>
      <c r="CK1009" s="75"/>
      <c r="CL1009" s="75"/>
      <c r="CM1009" s="75"/>
      <c r="CN1009" s="75"/>
      <c r="CO1009" s="75"/>
      <c r="CP1009" s="75"/>
      <c r="CQ1009" s="75"/>
      <c r="CR1009" s="75"/>
      <c r="CS1009" s="75"/>
    </row>
    <row r="1010" spans="1:97" ht="12.75" customHeight="1">
      <c r="A1010" s="774"/>
      <c r="B1010" s="2117"/>
      <c r="C1010" s="2117"/>
      <c r="D1010" s="2117"/>
      <c r="E1010" s="2117"/>
      <c r="F1010" s="2117"/>
      <c r="G1010" s="2117"/>
      <c r="H1010" s="2117"/>
      <c r="I1010" s="2117"/>
      <c r="J1010" s="2117"/>
      <c r="K1010" s="2117"/>
      <c r="L1010" s="2117"/>
      <c r="M1010" s="2117"/>
      <c r="N1010" s="2117"/>
      <c r="O1010" s="2117"/>
      <c r="P1010" s="2117"/>
      <c r="Q1010" s="2117"/>
      <c r="R1010" s="2117"/>
      <c r="S1010" s="2117"/>
      <c r="T1010" s="2117"/>
      <c r="U1010" s="2117"/>
      <c r="V1010" s="2117"/>
      <c r="W1010" s="2117"/>
      <c r="X1010" s="2117"/>
      <c r="Y1010" s="2117"/>
      <c r="Z1010" s="2117"/>
      <c r="AA1010" s="2117"/>
      <c r="AB1010" s="2117"/>
      <c r="AC1010" s="2117"/>
      <c r="AD1010" s="2117"/>
      <c r="AE1010" s="2117"/>
      <c r="AF1010" s="2117"/>
      <c r="AG1010" s="2117"/>
      <c r="AH1010" s="2117"/>
      <c r="AI1010" s="2117"/>
      <c r="AJ1010" s="2117"/>
      <c r="AK1010" s="2117"/>
      <c r="AL1010" s="35"/>
      <c r="AM1010" s="75"/>
      <c r="AN1010" s="75"/>
      <c r="AO1010" s="75"/>
      <c r="AP1010" s="75"/>
      <c r="AQ1010" s="75"/>
      <c r="AR1010" s="75"/>
      <c r="AS1010" s="75"/>
      <c r="AT1010" s="75"/>
      <c r="AU1010" s="75"/>
      <c r="AV1010" s="75"/>
      <c r="AW1010" s="75"/>
      <c r="AX1010" s="75"/>
      <c r="AY1010" s="75"/>
      <c r="AZ1010" s="75"/>
      <c r="BA1010" s="75"/>
      <c r="BB1010" s="75"/>
      <c r="BC1010" s="75"/>
      <c r="BD1010" s="75"/>
      <c r="BE1010" s="75"/>
      <c r="BF1010" s="75"/>
      <c r="BG1010" s="75"/>
      <c r="BH1010" s="75"/>
      <c r="BI1010" s="75"/>
      <c r="BJ1010" s="75"/>
      <c r="BK1010" s="75"/>
      <c r="BL1010" s="75"/>
      <c r="BM1010" s="75"/>
      <c r="BN1010" s="75"/>
      <c r="BO1010" s="75"/>
      <c r="BP1010" s="75"/>
      <c r="BQ1010" s="75"/>
      <c r="BR1010" s="75"/>
      <c r="BS1010" s="75"/>
      <c r="BT1010" s="75"/>
      <c r="BU1010" s="75"/>
      <c r="BV1010" s="75"/>
      <c r="BW1010" s="75"/>
      <c r="BX1010" s="75"/>
      <c r="BY1010" s="75"/>
      <c r="BZ1010" s="75"/>
      <c r="CA1010" s="75"/>
      <c r="CB1010" s="75"/>
      <c r="CC1010" s="75"/>
      <c r="CD1010" s="75"/>
      <c r="CE1010" s="75"/>
      <c r="CF1010" s="75"/>
      <c r="CG1010" s="75"/>
      <c r="CH1010" s="75"/>
      <c r="CI1010" s="75"/>
      <c r="CJ1010" s="75"/>
      <c r="CK1010" s="75"/>
      <c r="CL1010" s="75"/>
      <c r="CM1010" s="75"/>
      <c r="CN1010" s="75"/>
      <c r="CO1010" s="75"/>
      <c r="CP1010" s="75"/>
      <c r="CQ1010" s="75"/>
      <c r="CR1010" s="75"/>
      <c r="CS1010" s="75"/>
    </row>
    <row r="1011" spans="1:97" ht="12.75" customHeight="1">
      <c r="A1011" s="35"/>
      <c r="B1011" s="2117">
        <f>IF(ISNA(IF((AD973&gt;(AD951*0.15)),"(f) cannot be greater than 15% of unadjusted eligible basis.",0)),"",(IF((AD973&gt;(AD951*0.15)),"(f) cannot be greater than 15% of unadjusted eligible basis.",0)))</f>
        <v>0</v>
      </c>
      <c r="C1011" s="2117"/>
      <c r="D1011" s="2117"/>
      <c r="E1011" s="2117"/>
      <c r="F1011" s="2117"/>
      <c r="G1011" s="2117"/>
      <c r="H1011" s="2117"/>
      <c r="I1011" s="2117"/>
      <c r="J1011" s="2117"/>
      <c r="K1011" s="2117"/>
      <c r="L1011" s="2117"/>
      <c r="M1011" s="2117"/>
      <c r="N1011" s="2117"/>
      <c r="O1011" s="2117"/>
      <c r="P1011" s="2117"/>
      <c r="Q1011" s="2117"/>
      <c r="R1011" s="2117"/>
      <c r="S1011" s="2117"/>
      <c r="T1011" s="2117"/>
      <c r="U1011" s="2117"/>
      <c r="V1011" s="2117"/>
      <c r="W1011" s="2117"/>
      <c r="X1011" s="2117"/>
      <c r="Y1011" s="2117"/>
      <c r="Z1011" s="2117"/>
      <c r="AA1011" s="2117"/>
      <c r="AB1011" s="2117"/>
      <c r="AC1011" s="2117"/>
      <c r="AD1011" s="2117"/>
      <c r="AE1011" s="2117"/>
      <c r="AF1011" s="2117"/>
      <c r="AG1011" s="2117"/>
      <c r="AH1011" s="2117"/>
      <c r="AI1011" s="2117"/>
      <c r="AJ1011" s="2117"/>
      <c r="AK1011" s="2117"/>
      <c r="AL1011" s="35"/>
      <c r="AM1011" s="75"/>
      <c r="AN1011" s="75"/>
      <c r="AO1011" s="75"/>
      <c r="AP1011" s="75"/>
      <c r="AQ1011" s="75"/>
      <c r="AR1011" s="75"/>
      <c r="AS1011" s="75"/>
      <c r="AT1011" s="75"/>
      <c r="AU1011" s="75"/>
      <c r="AV1011" s="75"/>
      <c r="AW1011" s="75"/>
      <c r="AX1011" s="75"/>
      <c r="AY1011" s="75"/>
      <c r="AZ1011" s="75"/>
      <c r="BA1011" s="75"/>
      <c r="BB1011" s="75"/>
      <c r="BC1011" s="75"/>
      <c r="BD1011" s="75"/>
      <c r="BE1011" s="75"/>
      <c r="BF1011" s="75"/>
      <c r="BG1011" s="75"/>
      <c r="BH1011" s="75"/>
      <c r="BI1011" s="75"/>
      <c r="BJ1011" s="75"/>
      <c r="BK1011" s="75"/>
      <c r="BL1011" s="75"/>
      <c r="BM1011" s="75"/>
      <c r="BN1011" s="75"/>
      <c r="BO1011" s="75"/>
      <c r="BP1011" s="75"/>
      <c r="BQ1011" s="75"/>
      <c r="BR1011" s="75"/>
      <c r="BS1011" s="75"/>
      <c r="BT1011" s="75"/>
      <c r="BU1011" s="75"/>
      <c r="BV1011" s="75"/>
      <c r="BW1011" s="75"/>
      <c r="BX1011" s="75"/>
      <c r="BY1011" s="75"/>
      <c r="BZ1011" s="75"/>
      <c r="CA1011" s="75"/>
      <c r="CB1011" s="75"/>
      <c r="CC1011" s="75"/>
      <c r="CD1011" s="75"/>
      <c r="CE1011" s="75"/>
      <c r="CF1011" s="75"/>
      <c r="CG1011" s="75"/>
      <c r="CH1011" s="75"/>
      <c r="CI1011" s="75"/>
      <c r="CJ1011" s="75"/>
      <c r="CK1011" s="75"/>
      <c r="CL1011" s="75"/>
      <c r="CM1011" s="75"/>
      <c r="CN1011" s="75"/>
      <c r="CO1011" s="75"/>
      <c r="CP1011" s="75"/>
      <c r="CQ1011" s="75"/>
      <c r="CR1011" s="75"/>
      <c r="CS1011" s="75"/>
    </row>
    <row r="1012" spans="1:97" ht="12.75" customHeight="1" thickBot="1">
      <c r="A1012" s="2191" t="s">
        <v>1093</v>
      </c>
      <c r="B1012" s="2191"/>
      <c r="C1012" s="2191"/>
      <c r="D1012" s="2191"/>
      <c r="E1012" s="2191"/>
      <c r="F1012" s="2191"/>
      <c r="G1012" s="2191"/>
      <c r="H1012" s="2191"/>
      <c r="I1012" s="2191"/>
      <c r="J1012" s="2191"/>
      <c r="K1012" s="2191"/>
      <c r="L1012" s="2191"/>
      <c r="M1012" s="2191"/>
      <c r="N1012" s="2191"/>
      <c r="O1012" s="2191"/>
      <c r="P1012" s="2191"/>
      <c r="Q1012" s="2191"/>
      <c r="R1012" s="2191"/>
      <c r="S1012" s="2191"/>
      <c r="T1012" s="2191"/>
      <c r="U1012" s="2191"/>
      <c r="V1012" s="2191"/>
      <c r="W1012" s="2191"/>
      <c r="X1012" s="2191"/>
      <c r="Y1012" s="2191"/>
      <c r="Z1012" s="2191"/>
      <c r="AA1012" s="2191"/>
      <c r="AB1012" s="2191"/>
      <c r="AC1012" s="2191"/>
      <c r="AD1012" s="2191"/>
      <c r="AE1012" s="2191"/>
      <c r="AF1012" s="2191"/>
      <c r="AG1012" s="2191"/>
      <c r="AH1012" s="2191"/>
      <c r="AI1012" s="2191"/>
      <c r="AJ1012" s="2191"/>
      <c r="AK1012" s="2191"/>
      <c r="AM1012" s="75"/>
      <c r="AN1012" s="75"/>
      <c r="AO1012" s="75"/>
      <c r="AP1012" s="75"/>
      <c r="AQ1012" s="75"/>
      <c r="AR1012" s="75"/>
      <c r="AS1012" s="75"/>
      <c r="AT1012" s="75"/>
      <c r="AU1012" s="75"/>
      <c r="AV1012" s="75"/>
      <c r="AW1012" s="75"/>
      <c r="AX1012" s="75"/>
      <c r="AY1012" s="75"/>
      <c r="AZ1012" s="75"/>
      <c r="BA1012" s="75"/>
      <c r="BB1012" s="75"/>
      <c r="BC1012" s="75"/>
      <c r="BD1012" s="75"/>
      <c r="BE1012" s="75"/>
      <c r="BF1012" s="75"/>
      <c r="BG1012" s="75"/>
      <c r="BH1012" s="75"/>
      <c r="BI1012" s="75"/>
      <c r="BJ1012" s="75"/>
      <c r="BK1012" s="75"/>
      <c r="BL1012" s="75"/>
      <c r="BM1012" s="75"/>
      <c r="BN1012" s="75"/>
      <c r="BO1012" s="75"/>
      <c r="BP1012" s="75"/>
      <c r="BQ1012" s="75"/>
      <c r="BR1012" s="75"/>
      <c r="BS1012" s="75"/>
      <c r="BT1012" s="75"/>
      <c r="BU1012" s="75"/>
      <c r="BV1012" s="75"/>
      <c r="BW1012" s="75"/>
      <c r="BX1012" s="75"/>
      <c r="BY1012" s="75"/>
      <c r="BZ1012" s="75"/>
      <c r="CA1012" s="75"/>
      <c r="CB1012" s="75"/>
      <c r="CC1012" s="75"/>
      <c r="CD1012" s="75"/>
      <c r="CE1012" s="75"/>
      <c r="CF1012" s="75"/>
      <c r="CG1012" s="75"/>
      <c r="CH1012" s="75"/>
      <c r="CI1012" s="75"/>
      <c r="CJ1012" s="75"/>
      <c r="CK1012" s="75"/>
      <c r="CL1012" s="75"/>
      <c r="CM1012" s="75"/>
      <c r="CN1012" s="75"/>
      <c r="CO1012" s="75"/>
      <c r="CP1012" s="75"/>
      <c r="CQ1012" s="75"/>
      <c r="CR1012" s="75"/>
      <c r="CS1012" s="75"/>
    </row>
    <row r="1013" spans="1:97" ht="12.75" customHeight="1" thickTop="1">
      <c r="A1013" s="26"/>
      <c r="B1013" s="26"/>
      <c r="C1013" s="26"/>
      <c r="D1013" s="26"/>
      <c r="E1013" s="26"/>
      <c r="F1013" s="26"/>
      <c r="G1013" s="26"/>
      <c r="H1013" s="26"/>
      <c r="I1013" s="26"/>
      <c r="J1013" s="26"/>
      <c r="K1013" s="26"/>
      <c r="L1013" s="26"/>
      <c r="M1013" s="26"/>
      <c r="N1013" s="26"/>
      <c r="O1013" s="26"/>
      <c r="P1013" s="26"/>
      <c r="Q1013" s="26"/>
      <c r="R1013" s="26"/>
      <c r="S1013" s="26"/>
      <c r="T1013" s="26"/>
      <c r="U1013" s="26"/>
      <c r="V1013" s="26"/>
      <c r="W1013" s="26"/>
      <c r="X1013" s="26"/>
      <c r="Y1013" s="26"/>
      <c r="Z1013" s="26"/>
      <c r="AA1013" s="26"/>
      <c r="AB1013" s="26"/>
      <c r="AC1013" s="26"/>
      <c r="AD1013" s="26"/>
      <c r="AE1013" s="26"/>
      <c r="AF1013" s="26"/>
      <c r="AG1013" s="26"/>
      <c r="AH1013" s="26"/>
      <c r="AI1013" s="26"/>
      <c r="AJ1013" s="26"/>
      <c r="AK1013" s="26"/>
      <c r="AM1013" s="75"/>
      <c r="AN1013" s="75"/>
      <c r="AO1013" s="75"/>
      <c r="AP1013" s="75"/>
      <c r="AQ1013" s="75"/>
      <c r="AR1013" s="75"/>
      <c r="AS1013" s="75"/>
      <c r="AT1013" s="75"/>
      <c r="AU1013" s="75"/>
      <c r="AV1013" s="75"/>
      <c r="AW1013" s="75"/>
      <c r="AX1013" s="75"/>
      <c r="AY1013" s="75"/>
      <c r="AZ1013" s="75"/>
      <c r="BA1013" s="75"/>
      <c r="BB1013" s="75"/>
      <c r="BC1013" s="75"/>
      <c r="BD1013" s="75"/>
      <c r="BE1013" s="75"/>
      <c r="BF1013" s="75"/>
      <c r="BG1013" s="75"/>
      <c r="BH1013" s="75"/>
      <c r="BI1013" s="75"/>
      <c r="BJ1013" s="75"/>
      <c r="BK1013" s="75"/>
      <c r="BL1013" s="75"/>
      <c r="BM1013" s="75"/>
      <c r="BN1013" s="75"/>
      <c r="BO1013" s="75"/>
      <c r="BP1013" s="75"/>
      <c r="BQ1013" s="75"/>
      <c r="BR1013" s="75"/>
      <c r="BS1013" s="75"/>
      <c r="BT1013" s="75"/>
      <c r="BU1013" s="75"/>
      <c r="BV1013" s="75"/>
      <c r="BW1013" s="75"/>
      <c r="BX1013" s="75"/>
      <c r="BY1013" s="75"/>
      <c r="BZ1013" s="75"/>
      <c r="CA1013" s="75"/>
      <c r="CB1013" s="75"/>
      <c r="CC1013" s="75"/>
      <c r="CD1013" s="75"/>
      <c r="CE1013" s="75"/>
      <c r="CF1013" s="75"/>
      <c r="CG1013" s="75"/>
      <c r="CH1013" s="75"/>
      <c r="CI1013" s="75"/>
      <c r="CJ1013" s="75"/>
      <c r="CK1013" s="75"/>
      <c r="CL1013" s="75"/>
      <c r="CM1013" s="75"/>
      <c r="CN1013" s="75"/>
      <c r="CO1013" s="75"/>
      <c r="CP1013" s="75"/>
      <c r="CQ1013" s="75"/>
      <c r="CR1013" s="75"/>
      <c r="CS1013" s="75"/>
    </row>
    <row r="1014" spans="1:97" ht="12.75" customHeight="1">
      <c r="A1014" s="106" t="s">
        <v>1094</v>
      </c>
      <c r="B1014" s="26"/>
      <c r="C1014" s="26"/>
      <c r="D1014" s="26"/>
      <c r="E1014" s="26"/>
      <c r="F1014" s="26"/>
      <c r="G1014" s="26"/>
      <c r="H1014" s="26"/>
      <c r="I1014" s="26"/>
      <c r="J1014" s="26"/>
      <c r="K1014" s="26"/>
      <c r="L1014" s="26"/>
      <c r="M1014" s="26"/>
      <c r="N1014" s="26"/>
      <c r="O1014" s="26"/>
      <c r="P1014" s="26"/>
      <c r="Q1014" s="26"/>
      <c r="R1014" s="26"/>
      <c r="S1014" s="26"/>
      <c r="T1014" s="26"/>
      <c r="U1014" s="26"/>
      <c r="V1014" s="26"/>
      <c r="W1014" s="26"/>
      <c r="X1014" s="26"/>
      <c r="Y1014" s="26"/>
      <c r="Z1014" s="26"/>
      <c r="AA1014" s="26"/>
      <c r="AB1014" s="26"/>
      <c r="AC1014" s="26"/>
      <c r="AD1014" s="26"/>
      <c r="AE1014" s="26"/>
      <c r="AF1014" s="26"/>
      <c r="AG1014" s="26"/>
      <c r="AH1014" s="26"/>
      <c r="AI1014" s="26"/>
      <c r="AJ1014" s="26"/>
      <c r="AK1014" s="26"/>
      <c r="AM1014" s="75"/>
      <c r="AN1014" s="75"/>
      <c r="AO1014" s="75"/>
      <c r="AP1014" s="75"/>
      <c r="AQ1014" s="75"/>
      <c r="AR1014" s="75"/>
      <c r="AS1014" s="75"/>
      <c r="AT1014" s="75"/>
      <c r="AU1014" s="75"/>
      <c r="AV1014" s="75"/>
      <c r="AW1014" s="75"/>
      <c r="AX1014" s="75"/>
      <c r="AY1014" s="75"/>
      <c r="AZ1014" s="75"/>
      <c r="BA1014" s="75"/>
      <c r="BB1014" s="75"/>
      <c r="BC1014" s="75"/>
      <c r="BD1014" s="75"/>
      <c r="BE1014" s="75"/>
      <c r="BF1014" s="75"/>
      <c r="BG1014" s="75"/>
      <c r="BH1014" s="75"/>
      <c r="BI1014" s="75"/>
      <c r="BJ1014" s="75"/>
      <c r="BK1014" s="75"/>
      <c r="BL1014" s="75"/>
      <c r="BM1014" s="75"/>
      <c r="BN1014" s="75"/>
      <c r="BO1014" s="75"/>
      <c r="BP1014" s="75"/>
      <c r="BQ1014" s="75"/>
      <c r="BR1014" s="75"/>
      <c r="BS1014" s="75"/>
      <c r="BT1014" s="75"/>
      <c r="BU1014" s="75"/>
      <c r="BV1014" s="75"/>
      <c r="BW1014" s="75"/>
      <c r="BX1014" s="75"/>
      <c r="BY1014" s="75"/>
      <c r="BZ1014" s="75"/>
      <c r="CA1014" s="75"/>
      <c r="CB1014" s="75"/>
      <c r="CC1014" s="75"/>
      <c r="CD1014" s="75"/>
      <c r="CE1014" s="75"/>
      <c r="CF1014" s="75"/>
      <c r="CG1014" s="75"/>
      <c r="CH1014" s="75"/>
      <c r="CI1014" s="75"/>
      <c r="CJ1014" s="75"/>
      <c r="CK1014" s="75"/>
      <c r="CL1014" s="75"/>
      <c r="CM1014" s="75"/>
      <c r="CN1014" s="75"/>
      <c r="CO1014" s="75"/>
      <c r="CP1014" s="75"/>
      <c r="CQ1014" s="75"/>
      <c r="CR1014" s="75"/>
      <c r="CS1014" s="75"/>
    </row>
    <row r="1015" spans="1:97" ht="12.75" customHeight="1">
      <c r="A1015" s="401" t="s">
        <v>1095</v>
      </c>
      <c r="B1015" s="118"/>
      <c r="C1015" s="118"/>
      <c r="D1015" s="118"/>
      <c r="E1015" s="118"/>
      <c r="F1015" s="118"/>
      <c r="G1015" s="118"/>
      <c r="H1015" s="118"/>
      <c r="I1015" s="118"/>
      <c r="J1015" s="118"/>
      <c r="K1015" s="118"/>
      <c r="L1015" s="118"/>
      <c r="M1015" s="118"/>
      <c r="N1015" s="118"/>
      <c r="O1015" s="118"/>
      <c r="P1015" s="118"/>
      <c r="Q1015" s="26"/>
      <c r="R1015" s="26"/>
      <c r="S1015" s="26"/>
      <c r="T1015" s="26"/>
      <c r="U1015" s="26"/>
      <c r="V1015" s="26"/>
      <c r="W1015" s="26"/>
      <c r="X1015" s="26"/>
      <c r="Y1015" s="26"/>
      <c r="Z1015" s="26"/>
      <c r="AA1015" s="26"/>
      <c r="AB1015" s="26"/>
      <c r="AC1015" s="26"/>
      <c r="AJ1015" s="65"/>
      <c r="AK1015" s="65"/>
      <c r="AM1015" s="75"/>
      <c r="AN1015" s="75"/>
      <c r="AO1015" s="75"/>
      <c r="AP1015" s="75"/>
      <c r="AQ1015" s="75"/>
      <c r="AR1015" s="75"/>
      <c r="AS1015" s="75"/>
      <c r="AT1015" s="75"/>
      <c r="AU1015" s="75"/>
      <c r="AV1015" s="75"/>
      <c r="AW1015" s="75"/>
      <c r="AX1015" s="75"/>
      <c r="AY1015" s="75"/>
      <c r="AZ1015" s="75"/>
      <c r="BA1015" s="75"/>
      <c r="BB1015" s="75"/>
      <c r="BC1015" s="75"/>
      <c r="BD1015" s="75"/>
      <c r="BE1015" s="75"/>
      <c r="BF1015" s="75"/>
      <c r="BG1015" s="75"/>
      <c r="BH1015" s="75"/>
      <c r="BI1015" s="75"/>
      <c r="BJ1015" s="75"/>
      <c r="BK1015" s="75"/>
      <c r="BL1015" s="75"/>
      <c r="BM1015" s="75"/>
      <c r="BN1015" s="75"/>
      <c r="BO1015" s="75"/>
      <c r="BP1015" s="75"/>
      <c r="BQ1015" s="75"/>
      <c r="BR1015" s="75"/>
      <c r="BS1015" s="75"/>
      <c r="BT1015" s="75"/>
      <c r="BU1015" s="75"/>
      <c r="BV1015" s="75"/>
      <c r="BW1015" s="75"/>
      <c r="BX1015" s="75"/>
      <c r="BY1015" s="75"/>
      <c r="BZ1015" s="75"/>
      <c r="CA1015" s="75"/>
      <c r="CB1015" s="75"/>
      <c r="CC1015" s="75"/>
      <c r="CD1015" s="75"/>
      <c r="CE1015" s="75"/>
      <c r="CF1015" s="75"/>
      <c r="CG1015" s="75"/>
      <c r="CH1015" s="75"/>
      <c r="CI1015" s="75"/>
      <c r="CJ1015" s="75"/>
      <c r="CK1015" s="75"/>
      <c r="CL1015" s="75"/>
      <c r="CM1015" s="75"/>
      <c r="CN1015" s="75"/>
      <c r="CO1015" s="75"/>
      <c r="CP1015" s="75"/>
      <c r="CQ1015" s="75"/>
      <c r="CR1015" s="75"/>
      <c r="CS1015" s="75"/>
    </row>
    <row r="1016" spans="1:97" s="65" customFormat="1" ht="12.75" customHeight="1">
      <c r="A1016" s="1786" t="s">
        <v>136</v>
      </c>
      <c r="B1016" s="1786"/>
      <c r="C1016" s="17">
        <v>1</v>
      </c>
      <c r="D1016" s="1581" t="s">
        <v>1707</v>
      </c>
      <c r="E1016" s="1581"/>
      <c r="F1016" s="1581"/>
      <c r="G1016" s="1581"/>
      <c r="H1016" s="1581"/>
      <c r="I1016" s="1581"/>
      <c r="J1016" s="1581"/>
      <c r="K1016" s="1581"/>
      <c r="L1016" s="1581"/>
      <c r="M1016" s="1581"/>
      <c r="N1016" s="1581"/>
      <c r="O1016" s="1581"/>
      <c r="P1016" s="1581"/>
      <c r="Q1016" s="1581"/>
      <c r="R1016" s="1581"/>
      <c r="S1016" s="1581"/>
      <c r="T1016" s="1581"/>
      <c r="U1016" s="1581"/>
      <c r="V1016" s="1581"/>
      <c r="W1016" s="1581"/>
      <c r="X1016" s="1581"/>
      <c r="Y1016" s="1581"/>
      <c r="Z1016" s="1581"/>
      <c r="AA1016" s="1581"/>
      <c r="AB1016" s="1581"/>
      <c r="AC1016" s="1581"/>
      <c r="AD1016" s="1581"/>
      <c r="AE1016" s="1581"/>
      <c r="AF1016" s="1581"/>
      <c r="AG1016" s="1581"/>
      <c r="AH1016" s="1581"/>
      <c r="AI1016" s="1581"/>
      <c r="AJ1016" s="1581"/>
      <c r="AK1016" s="1581"/>
      <c r="AL1016" s="16"/>
      <c r="AM1016" s="66"/>
      <c r="AN1016" s="66"/>
      <c r="AO1016" s="30"/>
      <c r="AP1016" s="30"/>
      <c r="AQ1016" s="30"/>
      <c r="AR1016" s="30"/>
      <c r="AS1016" s="30"/>
      <c r="AT1016" s="70"/>
      <c r="AU1016" s="70"/>
      <c r="AV1016" s="70"/>
      <c r="AW1016" s="70"/>
      <c r="AX1016" s="70"/>
      <c r="AY1016" s="70"/>
      <c r="AZ1016" s="70"/>
      <c r="BA1016" s="70"/>
      <c r="BO1016" s="121"/>
      <c r="BP1016" s="121"/>
      <c r="BQ1016" s="121"/>
      <c r="BR1016" s="121"/>
      <c r="BS1016" s="121"/>
      <c r="BT1016" s="121"/>
      <c r="BU1016" s="121"/>
      <c r="BV1016" s="121"/>
      <c r="BW1016" s="121"/>
      <c r="BX1016" s="121"/>
      <c r="BY1016" s="121"/>
      <c r="BZ1016" s="121"/>
      <c r="CA1016" s="121"/>
      <c r="CB1016" s="121"/>
      <c r="CC1016" s="121"/>
      <c r="CD1016" s="121"/>
      <c r="CE1016" s="121"/>
      <c r="CF1016" s="121"/>
      <c r="CG1016" s="121"/>
      <c r="CH1016" s="121"/>
      <c r="CI1016" s="121"/>
      <c r="CJ1016" s="121"/>
      <c r="CK1016" s="121"/>
      <c r="CL1016" s="121"/>
      <c r="CM1016" s="121"/>
      <c r="CN1016" s="121"/>
      <c r="CO1016" s="121"/>
      <c r="CP1016" s="121"/>
      <c r="CQ1016" s="121"/>
      <c r="CR1016" s="121"/>
      <c r="CS1016" s="121"/>
    </row>
    <row r="1017" spans="1:97" s="65" customFormat="1" ht="12.75" customHeight="1">
      <c r="A1017" s="390"/>
      <c r="B1017" s="390"/>
      <c r="C1017" s="17"/>
      <c r="D1017" s="1581"/>
      <c r="E1017" s="1581"/>
      <c r="F1017" s="1581"/>
      <c r="G1017" s="1581"/>
      <c r="H1017" s="1581"/>
      <c r="I1017" s="1581"/>
      <c r="J1017" s="1581"/>
      <c r="K1017" s="1581"/>
      <c r="L1017" s="1581"/>
      <c r="M1017" s="1581"/>
      <c r="N1017" s="1581"/>
      <c r="O1017" s="1581"/>
      <c r="P1017" s="1581"/>
      <c r="Q1017" s="1581"/>
      <c r="R1017" s="1581"/>
      <c r="S1017" s="1581"/>
      <c r="T1017" s="1581"/>
      <c r="U1017" s="1581"/>
      <c r="V1017" s="1581"/>
      <c r="W1017" s="1581"/>
      <c r="X1017" s="1581"/>
      <c r="Y1017" s="1581"/>
      <c r="Z1017" s="1581"/>
      <c r="AA1017" s="1581"/>
      <c r="AB1017" s="1581"/>
      <c r="AC1017" s="1581"/>
      <c r="AD1017" s="1581"/>
      <c r="AE1017" s="1581"/>
      <c r="AF1017" s="1581"/>
      <c r="AG1017" s="1581"/>
      <c r="AH1017" s="1581"/>
      <c r="AI1017" s="1581"/>
      <c r="AJ1017" s="1581"/>
      <c r="AK1017" s="1581"/>
      <c r="AL1017" s="16"/>
      <c r="AM1017" s="66"/>
      <c r="AN1017" s="66"/>
      <c r="AO1017" s="30"/>
      <c r="AP1017" s="30"/>
      <c r="AQ1017" s="30"/>
      <c r="AR1017" s="30"/>
      <c r="AS1017" s="30"/>
      <c r="AT1017" s="70"/>
      <c r="AU1017" s="70"/>
      <c r="AV1017" s="70"/>
      <c r="AW1017" s="70"/>
      <c r="AX1017" s="70"/>
      <c r="AY1017" s="70"/>
      <c r="AZ1017" s="70"/>
      <c r="BA1017" s="70"/>
      <c r="BO1017" s="121"/>
      <c r="BP1017" s="121"/>
      <c r="BQ1017" s="121"/>
      <c r="BR1017" s="121"/>
      <c r="BS1017" s="121"/>
      <c r="BT1017" s="121"/>
      <c r="BU1017" s="121"/>
      <c r="BV1017" s="121"/>
      <c r="BW1017" s="121"/>
      <c r="BX1017" s="121"/>
      <c r="BY1017" s="121"/>
      <c r="BZ1017" s="121"/>
      <c r="CA1017" s="121"/>
      <c r="CB1017" s="121"/>
      <c r="CC1017" s="121"/>
      <c r="CD1017" s="121"/>
      <c r="CE1017" s="121"/>
      <c r="CF1017" s="121"/>
      <c r="CG1017" s="121"/>
      <c r="CH1017" s="121"/>
      <c r="CI1017" s="121"/>
      <c r="CJ1017" s="121"/>
      <c r="CK1017" s="121"/>
      <c r="CL1017" s="121"/>
      <c r="CM1017" s="121"/>
      <c r="CN1017" s="121"/>
      <c r="CO1017" s="121"/>
      <c r="CP1017" s="121"/>
      <c r="CQ1017" s="121"/>
      <c r="CR1017" s="121"/>
      <c r="CS1017" s="121"/>
    </row>
    <row r="1018" spans="1:97" s="65" customFormat="1" ht="13.2">
      <c r="A1018" s="390"/>
      <c r="B1018" s="390"/>
      <c r="C1018" s="17"/>
      <c r="D1018" s="1581"/>
      <c r="E1018" s="1581"/>
      <c r="F1018" s="1581"/>
      <c r="G1018" s="1581"/>
      <c r="H1018" s="1581"/>
      <c r="I1018" s="1581"/>
      <c r="J1018" s="1581"/>
      <c r="K1018" s="1581"/>
      <c r="L1018" s="1581"/>
      <c r="M1018" s="1581"/>
      <c r="N1018" s="1581"/>
      <c r="O1018" s="1581"/>
      <c r="P1018" s="1581"/>
      <c r="Q1018" s="1581"/>
      <c r="R1018" s="1581"/>
      <c r="S1018" s="1581"/>
      <c r="T1018" s="1581"/>
      <c r="U1018" s="1581"/>
      <c r="V1018" s="1581"/>
      <c r="W1018" s="1581"/>
      <c r="X1018" s="1581"/>
      <c r="Y1018" s="1581"/>
      <c r="Z1018" s="1581"/>
      <c r="AA1018" s="1581"/>
      <c r="AB1018" s="1581"/>
      <c r="AC1018" s="1581"/>
      <c r="AD1018" s="1581"/>
      <c r="AE1018" s="1581"/>
      <c r="AF1018" s="1581"/>
      <c r="AG1018" s="1581"/>
      <c r="AH1018" s="1581"/>
      <c r="AI1018" s="1581"/>
      <c r="AJ1018" s="1581"/>
      <c r="AK1018" s="1581"/>
      <c r="AL1018" s="16"/>
      <c r="AM1018" s="66"/>
      <c r="AN1018" s="66"/>
      <c r="AO1018" s="30"/>
      <c r="AP1018" s="30"/>
      <c r="AQ1018" s="30"/>
      <c r="AR1018" s="30"/>
      <c r="AS1018" s="30"/>
      <c r="AT1018" s="2109"/>
      <c r="AU1018" s="2109"/>
      <c r="AV1018" s="2109"/>
      <c r="AW1018" s="2109"/>
      <c r="AX1018" s="2109"/>
      <c r="AY1018" s="2109"/>
      <c r="AZ1018" s="70"/>
      <c r="BA1018" s="70"/>
      <c r="BO1018" s="121"/>
      <c r="BP1018" s="121"/>
      <c r="BQ1018" s="121"/>
      <c r="BR1018" s="121"/>
      <c r="BS1018" s="121"/>
      <c r="BT1018" s="121"/>
      <c r="BU1018" s="121"/>
      <c r="BV1018" s="121"/>
      <c r="BW1018" s="121"/>
      <c r="BX1018" s="121"/>
      <c r="BY1018" s="121"/>
      <c r="BZ1018" s="121"/>
      <c r="CA1018" s="121"/>
      <c r="CB1018" s="121"/>
      <c r="CC1018" s="121"/>
      <c r="CD1018" s="121"/>
      <c r="CE1018" s="121"/>
      <c r="CF1018" s="121"/>
      <c r="CG1018" s="121"/>
      <c r="CH1018" s="121"/>
      <c r="CI1018" s="121"/>
      <c r="CJ1018" s="121"/>
      <c r="CK1018" s="121"/>
      <c r="CL1018" s="121"/>
      <c r="CM1018" s="121"/>
      <c r="CN1018" s="121"/>
      <c r="CO1018" s="121"/>
      <c r="CP1018" s="121"/>
      <c r="CQ1018" s="121"/>
      <c r="CR1018" s="121"/>
      <c r="CS1018" s="121"/>
    </row>
    <row r="1019" spans="1:97" s="65" customFormat="1" ht="13.65" customHeight="1">
      <c r="A1019" s="390"/>
      <c r="B1019" s="390"/>
      <c r="C1019" s="17"/>
      <c r="D1019" s="1581"/>
      <c r="E1019" s="1581"/>
      <c r="F1019" s="1581"/>
      <c r="G1019" s="1581"/>
      <c r="H1019" s="1581"/>
      <c r="I1019" s="1581"/>
      <c r="J1019" s="1581"/>
      <c r="K1019" s="1581"/>
      <c r="L1019" s="1581"/>
      <c r="M1019" s="1581"/>
      <c r="N1019" s="1581"/>
      <c r="O1019" s="1581"/>
      <c r="P1019" s="1581"/>
      <c r="Q1019" s="1581"/>
      <c r="R1019" s="1581"/>
      <c r="S1019" s="1581"/>
      <c r="T1019" s="1581"/>
      <c r="U1019" s="1581"/>
      <c r="V1019" s="1581"/>
      <c r="W1019" s="1581"/>
      <c r="X1019" s="1581"/>
      <c r="Y1019" s="1581"/>
      <c r="Z1019" s="1581"/>
      <c r="AA1019" s="1581"/>
      <c r="AB1019" s="1581"/>
      <c r="AC1019" s="1581"/>
      <c r="AD1019" s="1581"/>
      <c r="AE1019" s="1581"/>
      <c r="AF1019" s="1581"/>
      <c r="AG1019" s="1581"/>
      <c r="AH1019" s="1581"/>
      <c r="AI1019" s="1581"/>
      <c r="AJ1019" s="1581"/>
      <c r="AK1019" s="1581"/>
      <c r="AL1019" s="16"/>
      <c r="AM1019" s="66"/>
      <c r="AN1019" s="66"/>
      <c r="AO1019" s="30"/>
      <c r="AP1019" s="30"/>
      <c r="AQ1019" s="30"/>
      <c r="AR1019" s="30"/>
      <c r="AS1019" s="30"/>
      <c r="AZ1019" s="70"/>
      <c r="BA1019" s="70"/>
      <c r="BO1019" s="121"/>
      <c r="BP1019" s="121"/>
      <c r="BQ1019" s="121"/>
      <c r="BR1019" s="121"/>
      <c r="BS1019" s="121"/>
      <c r="BT1019" s="121"/>
      <c r="BU1019" s="121"/>
      <c r="BV1019" s="121"/>
      <c r="BW1019" s="121"/>
      <c r="BX1019" s="121"/>
      <c r="BY1019" s="121"/>
      <c r="BZ1019" s="121"/>
      <c r="CA1019" s="121"/>
      <c r="CB1019" s="121"/>
      <c r="CC1019" s="121"/>
      <c r="CD1019" s="121"/>
      <c r="CE1019" s="121"/>
      <c r="CF1019" s="121"/>
      <c r="CG1019" s="121"/>
      <c r="CH1019" s="121"/>
      <c r="CI1019" s="121"/>
      <c r="CJ1019" s="121"/>
      <c r="CK1019" s="121"/>
      <c r="CL1019" s="121"/>
      <c r="CM1019" s="121"/>
      <c r="CN1019" s="121"/>
      <c r="CO1019" s="121"/>
      <c r="CP1019" s="121"/>
      <c r="CQ1019" s="121"/>
      <c r="CR1019" s="121"/>
      <c r="CS1019" s="121"/>
    </row>
    <row r="1020" spans="1:97" s="65" customFormat="1" ht="13.2">
      <c r="A1020" s="390"/>
      <c r="B1020" s="390"/>
      <c r="C1020" s="17"/>
      <c r="D1020" s="1581"/>
      <c r="E1020" s="1581"/>
      <c r="F1020" s="1581"/>
      <c r="G1020" s="1581"/>
      <c r="H1020" s="1581"/>
      <c r="I1020" s="1581"/>
      <c r="J1020" s="1581"/>
      <c r="K1020" s="1581"/>
      <c r="L1020" s="1581"/>
      <c r="M1020" s="1581"/>
      <c r="N1020" s="1581"/>
      <c r="O1020" s="1581"/>
      <c r="P1020" s="1581"/>
      <c r="Q1020" s="1581"/>
      <c r="R1020" s="1581"/>
      <c r="S1020" s="1581"/>
      <c r="T1020" s="1581"/>
      <c r="U1020" s="1581"/>
      <c r="V1020" s="1581"/>
      <c r="W1020" s="1581"/>
      <c r="X1020" s="1581"/>
      <c r="Y1020" s="1581"/>
      <c r="Z1020" s="1581"/>
      <c r="AA1020" s="1581"/>
      <c r="AB1020" s="1581"/>
      <c r="AC1020" s="1581"/>
      <c r="AD1020" s="1581"/>
      <c r="AE1020" s="1581"/>
      <c r="AF1020" s="1581"/>
      <c r="AG1020" s="1581"/>
      <c r="AH1020" s="1581"/>
      <c r="AI1020" s="1581"/>
      <c r="AJ1020" s="1581"/>
      <c r="AK1020" s="1581"/>
      <c r="AL1020" s="16"/>
      <c r="AM1020" s="132"/>
      <c r="AN1020" s="132"/>
      <c r="AZ1020" s="70"/>
      <c r="BA1020" s="70"/>
      <c r="BO1020" s="121"/>
      <c r="BP1020" s="121"/>
      <c r="BQ1020" s="121"/>
      <c r="BR1020" s="121"/>
      <c r="BS1020" s="121"/>
      <c r="BT1020" s="121"/>
      <c r="BU1020" s="121"/>
      <c r="BV1020" s="121"/>
      <c r="BW1020" s="121"/>
      <c r="BX1020" s="121"/>
      <c r="BY1020" s="121"/>
      <c r="BZ1020" s="121"/>
      <c r="CA1020" s="121"/>
      <c r="CB1020" s="121"/>
      <c r="CC1020" s="121"/>
      <c r="CD1020" s="121"/>
      <c r="CE1020" s="121"/>
      <c r="CF1020" s="121"/>
      <c r="CG1020" s="121"/>
      <c r="CH1020" s="121"/>
      <c r="CI1020" s="121"/>
      <c r="CJ1020" s="121"/>
      <c r="CK1020" s="121"/>
      <c r="CL1020" s="121"/>
      <c r="CM1020" s="121"/>
      <c r="CN1020" s="121"/>
      <c r="CO1020" s="121"/>
      <c r="CP1020" s="121"/>
      <c r="CQ1020" s="121"/>
      <c r="CR1020" s="121"/>
      <c r="CS1020" s="121"/>
    </row>
    <row r="1021" spans="1:97" s="65" customFormat="1" ht="13.2">
      <c r="A1021" s="48"/>
      <c r="B1021" s="80"/>
      <c r="C1021" s="17"/>
      <c r="D1021" s="1581"/>
      <c r="E1021" s="1581"/>
      <c r="F1021" s="1581"/>
      <c r="G1021" s="1581"/>
      <c r="H1021" s="1581"/>
      <c r="I1021" s="1581"/>
      <c r="J1021" s="1581"/>
      <c r="K1021" s="1581"/>
      <c r="L1021" s="1581"/>
      <c r="M1021" s="1581"/>
      <c r="N1021" s="1581"/>
      <c r="O1021" s="1581"/>
      <c r="P1021" s="1581"/>
      <c r="Q1021" s="1581"/>
      <c r="R1021" s="1581"/>
      <c r="S1021" s="1581"/>
      <c r="T1021" s="1581"/>
      <c r="U1021" s="1581"/>
      <c r="V1021" s="1581"/>
      <c r="W1021" s="1581"/>
      <c r="X1021" s="1581"/>
      <c r="Y1021" s="1581"/>
      <c r="Z1021" s="1581"/>
      <c r="AA1021" s="1581"/>
      <c r="AB1021" s="1581"/>
      <c r="AC1021" s="1581"/>
      <c r="AD1021" s="1581"/>
      <c r="AE1021" s="1581"/>
      <c r="AF1021" s="1581"/>
      <c r="AG1021" s="1581"/>
      <c r="AH1021" s="1581"/>
      <c r="AI1021" s="1581"/>
      <c r="AJ1021" s="1581"/>
      <c r="AK1021" s="1581"/>
      <c r="AL1021" s="16"/>
      <c r="AM1021" s="132"/>
      <c r="AN1021" s="132"/>
      <c r="AT1021" s="70"/>
      <c r="AU1021" s="70"/>
      <c r="AV1021" s="70"/>
      <c r="AW1021" s="70"/>
      <c r="AX1021" s="70"/>
      <c r="AY1021" s="70"/>
      <c r="AZ1021" s="70"/>
      <c r="BA1021" s="70"/>
      <c r="BO1021" s="121"/>
      <c r="BP1021" s="121"/>
      <c r="BQ1021" s="121"/>
      <c r="BR1021" s="121"/>
      <c r="BS1021" s="121"/>
      <c r="BT1021" s="121"/>
      <c r="BU1021" s="121"/>
      <c r="BV1021" s="121"/>
      <c r="BW1021" s="121"/>
      <c r="BX1021" s="121"/>
      <c r="BY1021" s="121"/>
      <c r="BZ1021" s="121"/>
      <c r="CA1021" s="121"/>
      <c r="CB1021" s="121"/>
      <c r="CC1021" s="121"/>
      <c r="CD1021" s="121"/>
      <c r="CE1021" s="121"/>
      <c r="CF1021" s="121"/>
      <c r="CG1021" s="121"/>
      <c r="CH1021" s="121"/>
      <c r="CI1021" s="121"/>
      <c r="CJ1021" s="121"/>
      <c r="CK1021" s="121"/>
      <c r="CL1021" s="121"/>
      <c r="CM1021" s="121"/>
      <c r="CN1021" s="121"/>
      <c r="CO1021" s="121"/>
      <c r="CP1021" s="121"/>
      <c r="CQ1021" s="121"/>
      <c r="CR1021" s="121"/>
      <c r="CS1021" s="121"/>
    </row>
    <row r="1022" spans="1:97" s="65" customFormat="1" ht="13.2">
      <c r="A1022" s="1786" t="s">
        <v>136</v>
      </c>
      <c r="B1022" s="1786"/>
      <c r="C1022" s="17">
        <v>2</v>
      </c>
      <c r="D1022" s="1582" t="s">
        <v>1708</v>
      </c>
      <c r="E1022" s="1581"/>
      <c r="F1022" s="1581"/>
      <c r="G1022" s="1581"/>
      <c r="H1022" s="1581"/>
      <c r="I1022" s="1581"/>
      <c r="J1022" s="1581"/>
      <c r="K1022" s="1581"/>
      <c r="L1022" s="1581"/>
      <c r="M1022" s="1581"/>
      <c r="N1022" s="1581"/>
      <c r="O1022" s="1581"/>
      <c r="P1022" s="1581"/>
      <c r="Q1022" s="1581"/>
      <c r="R1022" s="1581"/>
      <c r="S1022" s="1581"/>
      <c r="T1022" s="1581"/>
      <c r="U1022" s="1581"/>
      <c r="V1022" s="1581"/>
      <c r="W1022" s="1581"/>
      <c r="X1022" s="1581"/>
      <c r="Y1022" s="1581"/>
      <c r="Z1022" s="1581"/>
      <c r="AA1022" s="1581"/>
      <c r="AB1022" s="1581"/>
      <c r="AC1022" s="1581"/>
      <c r="AD1022" s="1581"/>
      <c r="AE1022" s="1581"/>
      <c r="AF1022" s="1581"/>
      <c r="AG1022" s="1581"/>
      <c r="AH1022" s="1581"/>
      <c r="AI1022" s="1581"/>
      <c r="AJ1022" s="1581"/>
      <c r="AK1022" s="1581"/>
      <c r="AL1022" s="16"/>
      <c r="AM1022" s="132"/>
      <c r="AN1022" s="132"/>
      <c r="AT1022" s="70"/>
      <c r="AU1022" s="70"/>
      <c r="AV1022" s="70"/>
      <c r="AW1022" s="70"/>
      <c r="AX1022" s="70"/>
      <c r="AY1022" s="70"/>
      <c r="AZ1022" s="70"/>
      <c r="BA1022" s="70"/>
      <c r="BO1022" s="121"/>
      <c r="BP1022" s="121"/>
      <c r="BQ1022" s="121"/>
      <c r="BR1022" s="121"/>
      <c r="BS1022" s="121"/>
      <c r="BT1022" s="121"/>
      <c r="BU1022" s="121"/>
      <c r="BV1022" s="121"/>
      <c r="BW1022" s="121"/>
      <c r="BX1022" s="121"/>
      <c r="BY1022" s="121"/>
      <c r="BZ1022" s="121"/>
      <c r="CA1022" s="121"/>
      <c r="CB1022" s="121"/>
      <c r="CC1022" s="121"/>
      <c r="CD1022" s="121"/>
      <c r="CE1022" s="121"/>
      <c r="CF1022" s="121"/>
      <c r="CG1022" s="121"/>
      <c r="CH1022" s="121"/>
      <c r="CI1022" s="121"/>
      <c r="CJ1022" s="121"/>
      <c r="CK1022" s="121"/>
      <c r="CL1022" s="121"/>
      <c r="CM1022" s="121"/>
      <c r="CN1022" s="121"/>
      <c r="CO1022" s="121"/>
      <c r="CP1022" s="121"/>
      <c r="CQ1022" s="121"/>
      <c r="CR1022" s="121"/>
      <c r="CS1022" s="121"/>
    </row>
    <row r="1023" spans="1:97" s="65" customFormat="1" ht="13.2">
      <c r="A1023" s="390"/>
      <c r="B1023" s="390"/>
      <c r="C1023" s="17"/>
      <c r="D1023" s="1581"/>
      <c r="E1023" s="1581"/>
      <c r="F1023" s="1581"/>
      <c r="G1023" s="1581"/>
      <c r="H1023" s="1581"/>
      <c r="I1023" s="1581"/>
      <c r="J1023" s="1581"/>
      <c r="K1023" s="1581"/>
      <c r="L1023" s="1581"/>
      <c r="M1023" s="1581"/>
      <c r="N1023" s="1581"/>
      <c r="O1023" s="1581"/>
      <c r="P1023" s="1581"/>
      <c r="Q1023" s="1581"/>
      <c r="R1023" s="1581"/>
      <c r="S1023" s="1581"/>
      <c r="T1023" s="1581"/>
      <c r="U1023" s="1581"/>
      <c r="V1023" s="1581"/>
      <c r="W1023" s="1581"/>
      <c r="X1023" s="1581"/>
      <c r="Y1023" s="1581"/>
      <c r="Z1023" s="1581"/>
      <c r="AA1023" s="1581"/>
      <c r="AB1023" s="1581"/>
      <c r="AC1023" s="1581"/>
      <c r="AD1023" s="1581"/>
      <c r="AE1023" s="1581"/>
      <c r="AF1023" s="1581"/>
      <c r="AG1023" s="1581"/>
      <c r="AH1023" s="1581"/>
      <c r="AI1023" s="1581"/>
      <c r="AJ1023" s="1581"/>
      <c r="AK1023" s="1581"/>
      <c r="AL1023" s="16"/>
      <c r="AM1023" s="132"/>
      <c r="AN1023" s="132"/>
      <c r="AT1023" s="70"/>
      <c r="AU1023" s="70"/>
      <c r="AV1023" s="70"/>
      <c r="AW1023" s="70"/>
      <c r="AX1023" s="70"/>
      <c r="AY1023" s="70"/>
      <c r="AZ1023" s="70"/>
      <c r="BA1023" s="70"/>
      <c r="BO1023" s="121"/>
      <c r="BP1023" s="121"/>
      <c r="BQ1023" s="121"/>
      <c r="BR1023" s="121"/>
      <c r="BS1023" s="121"/>
      <c r="BT1023" s="121"/>
      <c r="BU1023" s="121"/>
      <c r="BV1023" s="121"/>
      <c r="BW1023" s="121"/>
      <c r="BX1023" s="121"/>
      <c r="BY1023" s="121"/>
      <c r="BZ1023" s="121"/>
      <c r="CA1023" s="121"/>
      <c r="CB1023" s="121"/>
      <c r="CC1023" s="121"/>
      <c r="CD1023" s="121"/>
      <c r="CE1023" s="121"/>
      <c r="CF1023" s="121"/>
      <c r="CG1023" s="121"/>
      <c r="CH1023" s="121"/>
      <c r="CI1023" s="121"/>
      <c r="CJ1023" s="121"/>
      <c r="CK1023" s="121"/>
      <c r="CL1023" s="121"/>
      <c r="CM1023" s="121"/>
      <c r="CN1023" s="121"/>
      <c r="CO1023" s="121"/>
      <c r="CP1023" s="121"/>
      <c r="CQ1023" s="121"/>
      <c r="CR1023" s="121"/>
      <c r="CS1023" s="121"/>
    </row>
    <row r="1024" spans="1:97" s="65" customFormat="1" ht="13.2">
      <c r="A1024" s="390"/>
      <c r="B1024" s="390"/>
      <c r="C1024" s="17"/>
      <c r="D1024" s="1581"/>
      <c r="E1024" s="1581"/>
      <c r="F1024" s="1581"/>
      <c r="G1024" s="1581"/>
      <c r="H1024" s="1581"/>
      <c r="I1024" s="1581"/>
      <c r="J1024" s="1581"/>
      <c r="K1024" s="1581"/>
      <c r="L1024" s="1581"/>
      <c r="M1024" s="1581"/>
      <c r="N1024" s="1581"/>
      <c r="O1024" s="1581"/>
      <c r="P1024" s="1581"/>
      <c r="Q1024" s="1581"/>
      <c r="R1024" s="1581"/>
      <c r="S1024" s="1581"/>
      <c r="T1024" s="1581"/>
      <c r="U1024" s="1581"/>
      <c r="V1024" s="1581"/>
      <c r="W1024" s="1581"/>
      <c r="X1024" s="1581"/>
      <c r="Y1024" s="1581"/>
      <c r="Z1024" s="1581"/>
      <c r="AA1024" s="1581"/>
      <c r="AB1024" s="1581"/>
      <c r="AC1024" s="1581"/>
      <c r="AD1024" s="1581"/>
      <c r="AE1024" s="1581"/>
      <c r="AF1024" s="1581"/>
      <c r="AG1024" s="1581"/>
      <c r="AH1024" s="1581"/>
      <c r="AI1024" s="1581"/>
      <c r="AJ1024" s="1581"/>
      <c r="AK1024" s="1581"/>
      <c r="AL1024" s="16"/>
      <c r="AT1024" s="70"/>
      <c r="AU1024" s="70"/>
      <c r="AV1024" s="70"/>
      <c r="AW1024" s="70"/>
      <c r="AX1024" s="70"/>
      <c r="AY1024" s="70"/>
      <c r="AZ1024" s="70"/>
      <c r="BA1024" s="70"/>
      <c r="BO1024" s="121"/>
      <c r="BP1024" s="121"/>
      <c r="BQ1024" s="121"/>
      <c r="BR1024" s="121"/>
      <c r="BS1024" s="121"/>
      <c r="BT1024" s="121"/>
      <c r="BU1024" s="121"/>
      <c r="BV1024" s="121"/>
      <c r="BW1024" s="121"/>
      <c r="BX1024" s="121"/>
      <c r="BY1024" s="121"/>
      <c r="BZ1024" s="121"/>
      <c r="CA1024" s="121"/>
      <c r="CB1024" s="121"/>
      <c r="CC1024" s="121"/>
      <c r="CD1024" s="121"/>
      <c r="CE1024" s="121"/>
      <c r="CF1024" s="121"/>
      <c r="CG1024" s="121"/>
      <c r="CH1024" s="121"/>
      <c r="CI1024" s="121"/>
      <c r="CJ1024" s="121"/>
      <c r="CK1024" s="121"/>
      <c r="CL1024" s="121"/>
      <c r="CM1024" s="121"/>
      <c r="CN1024" s="121"/>
      <c r="CO1024" s="121"/>
      <c r="CP1024" s="121"/>
      <c r="CQ1024" s="121"/>
      <c r="CR1024" s="121"/>
      <c r="CS1024" s="121"/>
    </row>
    <row r="1025" spans="1:97" s="65" customFormat="1" ht="13.65" customHeight="1">
      <c r="A1025" s="390"/>
      <c r="B1025" s="390"/>
      <c r="C1025" s="17"/>
      <c r="D1025" s="1581"/>
      <c r="E1025" s="1581"/>
      <c r="F1025" s="1581"/>
      <c r="G1025" s="1581"/>
      <c r="H1025" s="1581"/>
      <c r="I1025" s="1581"/>
      <c r="J1025" s="1581"/>
      <c r="K1025" s="1581"/>
      <c r="L1025" s="1581"/>
      <c r="M1025" s="1581"/>
      <c r="N1025" s="1581"/>
      <c r="O1025" s="1581"/>
      <c r="P1025" s="1581"/>
      <c r="Q1025" s="1581"/>
      <c r="R1025" s="1581"/>
      <c r="S1025" s="1581"/>
      <c r="T1025" s="1581"/>
      <c r="U1025" s="1581"/>
      <c r="V1025" s="1581"/>
      <c r="W1025" s="1581"/>
      <c r="X1025" s="1581"/>
      <c r="Y1025" s="1581"/>
      <c r="Z1025" s="1581"/>
      <c r="AA1025" s="1581"/>
      <c r="AB1025" s="1581"/>
      <c r="AC1025" s="1581"/>
      <c r="AD1025" s="1581"/>
      <c r="AE1025" s="1581"/>
      <c r="AF1025" s="1581"/>
      <c r="AG1025" s="1581"/>
      <c r="AH1025" s="1581"/>
      <c r="AI1025" s="1581"/>
      <c r="AJ1025" s="1581"/>
      <c r="AK1025" s="1581"/>
      <c r="AL1025" s="16"/>
      <c r="AT1025" s="70"/>
      <c r="AU1025" s="70"/>
      <c r="AV1025" s="70"/>
      <c r="AW1025" s="70"/>
      <c r="AX1025" s="70"/>
      <c r="AY1025" s="70"/>
      <c r="AZ1025" s="70"/>
      <c r="BA1025" s="70"/>
      <c r="BO1025" s="121"/>
      <c r="BP1025" s="121"/>
      <c r="BQ1025" s="121"/>
      <c r="BR1025" s="121"/>
      <c r="BS1025" s="121"/>
      <c r="BT1025" s="121"/>
      <c r="BU1025" s="121"/>
      <c r="BV1025" s="121"/>
      <c r="BW1025" s="121"/>
      <c r="BX1025" s="121"/>
      <c r="BY1025" s="121"/>
      <c r="BZ1025" s="121"/>
      <c r="CA1025" s="121"/>
      <c r="CB1025" s="121"/>
      <c r="CC1025" s="121"/>
      <c r="CD1025" s="121"/>
      <c r="CE1025" s="121"/>
      <c r="CF1025" s="121"/>
      <c r="CG1025" s="121"/>
      <c r="CH1025" s="121"/>
      <c r="CI1025" s="121"/>
      <c r="CJ1025" s="121"/>
      <c r="CK1025" s="121"/>
      <c r="CL1025" s="121"/>
      <c r="CM1025" s="121"/>
      <c r="CN1025" s="121"/>
      <c r="CO1025" s="121"/>
      <c r="CP1025" s="121"/>
      <c r="CQ1025" s="121"/>
      <c r="CR1025" s="121"/>
      <c r="CS1025" s="121"/>
    </row>
    <row r="1026" spans="1:97" s="65" customFormat="1" ht="13.2">
      <c r="A1026" s="390"/>
      <c r="B1026" s="390"/>
      <c r="C1026" s="17"/>
      <c r="D1026" s="1581"/>
      <c r="E1026" s="1581"/>
      <c r="F1026" s="1581"/>
      <c r="G1026" s="1581"/>
      <c r="H1026" s="1581"/>
      <c r="I1026" s="1581"/>
      <c r="J1026" s="1581"/>
      <c r="K1026" s="1581"/>
      <c r="L1026" s="1581"/>
      <c r="M1026" s="1581"/>
      <c r="N1026" s="1581"/>
      <c r="O1026" s="1581"/>
      <c r="P1026" s="1581"/>
      <c r="Q1026" s="1581"/>
      <c r="R1026" s="1581"/>
      <c r="S1026" s="1581"/>
      <c r="T1026" s="1581"/>
      <c r="U1026" s="1581"/>
      <c r="V1026" s="1581"/>
      <c r="W1026" s="1581"/>
      <c r="X1026" s="1581"/>
      <c r="Y1026" s="1581"/>
      <c r="Z1026" s="1581"/>
      <c r="AA1026" s="1581"/>
      <c r="AB1026" s="1581"/>
      <c r="AC1026" s="1581"/>
      <c r="AD1026" s="1581"/>
      <c r="AE1026" s="1581"/>
      <c r="AF1026" s="1581"/>
      <c r="AG1026" s="1581"/>
      <c r="AH1026" s="1581"/>
      <c r="AI1026" s="1581"/>
      <c r="AJ1026" s="1581"/>
      <c r="AK1026" s="1581"/>
      <c r="AL1026" s="16"/>
      <c r="AR1026" s="30"/>
      <c r="AS1026" s="30"/>
      <c r="AT1026" s="70"/>
      <c r="AU1026" s="70"/>
      <c r="AV1026" s="70"/>
      <c r="AW1026" s="70"/>
      <c r="AX1026" s="70"/>
      <c r="AY1026" s="70"/>
      <c r="AZ1026" s="70"/>
      <c r="BA1026" s="70"/>
      <c r="BO1026" s="121"/>
      <c r="BP1026" s="121"/>
      <c r="BQ1026" s="121"/>
      <c r="BR1026" s="121"/>
      <c r="BS1026" s="121"/>
      <c r="BT1026" s="121"/>
      <c r="BU1026" s="121"/>
      <c r="BV1026" s="121"/>
      <c r="BW1026" s="121"/>
      <c r="BX1026" s="121"/>
      <c r="BY1026" s="121"/>
      <c r="BZ1026" s="121"/>
      <c r="CA1026" s="121"/>
      <c r="CB1026" s="121"/>
      <c r="CC1026" s="121"/>
      <c r="CD1026" s="121"/>
      <c r="CE1026" s="121"/>
      <c r="CF1026" s="121"/>
      <c r="CG1026" s="121"/>
      <c r="CH1026" s="121"/>
      <c r="CI1026" s="121"/>
      <c r="CJ1026" s="121"/>
      <c r="CK1026" s="121"/>
      <c r="CL1026" s="121"/>
      <c r="CM1026" s="121"/>
      <c r="CN1026" s="121"/>
      <c r="CO1026" s="121"/>
      <c r="CP1026" s="121"/>
      <c r="CQ1026" s="121"/>
      <c r="CR1026" s="121"/>
      <c r="CS1026" s="121"/>
    </row>
    <row r="1027" spans="1:97" ht="12.75" customHeight="1">
      <c r="A1027" s="390"/>
      <c r="B1027" s="390"/>
      <c r="C1027" s="17"/>
      <c r="D1027" s="1581"/>
      <c r="E1027" s="1581"/>
      <c r="F1027" s="1581"/>
      <c r="G1027" s="1581"/>
      <c r="H1027" s="1581"/>
      <c r="I1027" s="1581"/>
      <c r="J1027" s="1581"/>
      <c r="K1027" s="1581"/>
      <c r="L1027" s="1581"/>
      <c r="M1027" s="1581"/>
      <c r="N1027" s="1581"/>
      <c r="O1027" s="1581"/>
      <c r="P1027" s="1581"/>
      <c r="Q1027" s="1581"/>
      <c r="R1027" s="1581"/>
      <c r="S1027" s="1581"/>
      <c r="T1027" s="1581"/>
      <c r="U1027" s="1581"/>
      <c r="V1027" s="1581"/>
      <c r="W1027" s="1581"/>
      <c r="X1027" s="1581"/>
      <c r="Y1027" s="1581"/>
      <c r="Z1027" s="1581"/>
      <c r="AA1027" s="1581"/>
      <c r="AB1027" s="1581"/>
      <c r="AC1027" s="1581"/>
      <c r="AD1027" s="1581"/>
      <c r="AE1027" s="1581"/>
      <c r="AF1027" s="1581"/>
      <c r="AG1027" s="1581"/>
      <c r="AH1027" s="1581"/>
      <c r="AI1027" s="1581"/>
      <c r="AJ1027" s="1581"/>
      <c r="AK1027" s="1581"/>
      <c r="AM1027" s="66"/>
      <c r="AN1027" s="66"/>
      <c r="AO1027" s="30"/>
      <c r="AP1027" s="30"/>
      <c r="AQ1027" s="30"/>
      <c r="AR1027" s="30"/>
      <c r="AS1027" s="30"/>
      <c r="AT1027" s="70"/>
      <c r="AU1027" s="70"/>
      <c r="AV1027" s="70"/>
      <c r="AW1027" s="70"/>
      <c r="AX1027" s="70"/>
      <c r="AY1027" s="70"/>
      <c r="AZ1027" s="70"/>
      <c r="BA1027" s="70"/>
      <c r="BO1027" s="75"/>
      <c r="BP1027" s="75"/>
      <c r="BQ1027" s="75"/>
      <c r="BR1027" s="75"/>
      <c r="BS1027" s="75"/>
      <c r="BT1027" s="75"/>
      <c r="BU1027" s="75"/>
      <c r="BV1027" s="75"/>
      <c r="BW1027" s="75"/>
      <c r="BX1027" s="75"/>
      <c r="BY1027" s="75"/>
      <c r="BZ1027" s="75"/>
      <c r="CA1027" s="75"/>
      <c r="CB1027" s="75"/>
      <c r="CC1027" s="75"/>
      <c r="CD1027" s="75"/>
      <c r="CE1027" s="75"/>
      <c r="CF1027" s="75"/>
      <c r="CG1027" s="75"/>
      <c r="CH1027" s="75"/>
      <c r="CI1027" s="75"/>
      <c r="CJ1027" s="75"/>
      <c r="CK1027" s="75"/>
      <c r="CL1027" s="75"/>
      <c r="CM1027" s="75"/>
      <c r="CN1027" s="75"/>
      <c r="CO1027" s="75"/>
      <c r="CP1027" s="75"/>
      <c r="CQ1027" s="75"/>
      <c r="CR1027" s="75"/>
      <c r="CS1027" s="75"/>
    </row>
    <row r="1028" spans="1:97" ht="12.75" customHeight="1">
      <c r="A1028" s="1786" t="s">
        <v>119</v>
      </c>
      <c r="B1028" s="1786"/>
      <c r="C1028" s="17">
        <v>3</v>
      </c>
      <c r="D1028" s="1582" t="s">
        <v>2162</v>
      </c>
      <c r="E1028" s="1581"/>
      <c r="F1028" s="1581"/>
      <c r="G1028" s="1581"/>
      <c r="H1028" s="1581"/>
      <c r="I1028" s="1581"/>
      <c r="J1028" s="1581"/>
      <c r="K1028" s="1581"/>
      <c r="L1028" s="1581"/>
      <c r="M1028" s="1581"/>
      <c r="N1028" s="1581"/>
      <c r="O1028" s="1581"/>
      <c r="P1028" s="1581"/>
      <c r="Q1028" s="1581"/>
      <c r="R1028" s="1581"/>
      <c r="S1028" s="1581"/>
      <c r="T1028" s="1581"/>
      <c r="U1028" s="1581"/>
      <c r="V1028" s="1581"/>
      <c r="W1028" s="1581"/>
      <c r="X1028" s="1581"/>
      <c r="Y1028" s="1581"/>
      <c r="Z1028" s="1581"/>
      <c r="AA1028" s="1581"/>
      <c r="AB1028" s="1581"/>
      <c r="AC1028" s="1581"/>
      <c r="AD1028" s="1581"/>
      <c r="AE1028" s="1581"/>
      <c r="AF1028" s="1581"/>
      <c r="AG1028" s="1581"/>
      <c r="AH1028" s="1581"/>
      <c r="AI1028" s="1581"/>
      <c r="AJ1028" s="1581"/>
      <c r="AK1028" s="1581"/>
      <c r="AM1028" s="66"/>
      <c r="AN1028" s="66"/>
      <c r="AO1028" s="30"/>
      <c r="AP1028" s="30"/>
      <c r="AQ1028" s="30"/>
      <c r="AR1028" s="30"/>
      <c r="AS1028" s="30"/>
      <c r="AT1028" s="70"/>
      <c r="AU1028" s="70"/>
      <c r="AV1028" s="70"/>
      <c r="AW1028" s="70"/>
      <c r="AX1028" s="70"/>
      <c r="AY1028" s="70"/>
      <c r="AZ1028" s="70"/>
      <c r="BA1028" s="70"/>
      <c r="BO1028" s="75"/>
      <c r="BP1028" s="75"/>
      <c r="BQ1028" s="75"/>
      <c r="BR1028" s="75"/>
      <c r="BS1028" s="75"/>
      <c r="BT1028" s="75"/>
      <c r="BU1028" s="75"/>
      <c r="BV1028" s="75"/>
      <c r="BW1028" s="75"/>
      <c r="BX1028" s="75"/>
      <c r="BY1028" s="75"/>
      <c r="BZ1028" s="75"/>
      <c r="CA1028" s="75"/>
      <c r="CB1028" s="75"/>
      <c r="CC1028" s="75"/>
      <c r="CD1028" s="75"/>
      <c r="CE1028" s="75"/>
      <c r="CF1028" s="75"/>
      <c r="CG1028" s="75"/>
      <c r="CH1028" s="75"/>
      <c r="CI1028" s="75"/>
      <c r="CJ1028" s="75"/>
      <c r="CK1028" s="75"/>
      <c r="CL1028" s="75"/>
      <c r="CM1028" s="75"/>
      <c r="CN1028" s="75"/>
      <c r="CO1028" s="75"/>
      <c r="CP1028" s="75"/>
      <c r="CQ1028" s="75"/>
      <c r="CR1028" s="75"/>
      <c r="CS1028" s="75"/>
    </row>
    <row r="1029" spans="1:97" ht="12.75" customHeight="1">
      <c r="A1029" s="136"/>
      <c r="B1029" s="136"/>
      <c r="C1029" s="17"/>
      <c r="D1029" s="1581"/>
      <c r="E1029" s="1581"/>
      <c r="F1029" s="1581"/>
      <c r="G1029" s="1581"/>
      <c r="H1029" s="1581"/>
      <c r="I1029" s="1581"/>
      <c r="J1029" s="1581"/>
      <c r="K1029" s="1581"/>
      <c r="L1029" s="1581"/>
      <c r="M1029" s="1581"/>
      <c r="N1029" s="1581"/>
      <c r="O1029" s="1581"/>
      <c r="P1029" s="1581"/>
      <c r="Q1029" s="1581"/>
      <c r="R1029" s="1581"/>
      <c r="S1029" s="1581"/>
      <c r="T1029" s="1581"/>
      <c r="U1029" s="1581"/>
      <c r="V1029" s="1581"/>
      <c r="W1029" s="1581"/>
      <c r="X1029" s="1581"/>
      <c r="Y1029" s="1581"/>
      <c r="Z1029" s="1581"/>
      <c r="AA1029" s="1581"/>
      <c r="AB1029" s="1581"/>
      <c r="AC1029" s="1581"/>
      <c r="AD1029" s="1581"/>
      <c r="AE1029" s="1581"/>
      <c r="AF1029" s="1581"/>
      <c r="AG1029" s="1581"/>
      <c r="AH1029" s="1581"/>
      <c r="AI1029" s="1581"/>
      <c r="AJ1029" s="1581"/>
      <c r="AK1029" s="1581"/>
      <c r="AM1029" s="66"/>
      <c r="AN1029" s="66"/>
      <c r="AO1029" s="30"/>
      <c r="AP1029" s="30"/>
      <c r="AQ1029" s="30"/>
      <c r="AR1029" s="30"/>
      <c r="AS1029" s="30"/>
      <c r="AT1029" s="70"/>
      <c r="AU1029" s="70"/>
      <c r="AV1029" s="70"/>
      <c r="AW1029" s="70"/>
      <c r="AX1029" s="70"/>
      <c r="AY1029" s="70"/>
      <c r="AZ1029" s="70"/>
      <c r="BA1029" s="70"/>
      <c r="BO1029" s="75"/>
      <c r="BP1029" s="75"/>
      <c r="BQ1029" s="75"/>
      <c r="BR1029" s="75"/>
      <c r="BS1029" s="75"/>
      <c r="BT1029" s="75"/>
      <c r="BU1029" s="75"/>
      <c r="BV1029" s="75"/>
      <c r="BW1029" s="75"/>
      <c r="BX1029" s="75"/>
      <c r="BY1029" s="75"/>
      <c r="BZ1029" s="75"/>
      <c r="CA1029" s="75"/>
      <c r="CB1029" s="75"/>
      <c r="CC1029" s="75"/>
      <c r="CD1029" s="75"/>
      <c r="CE1029" s="75"/>
      <c r="CF1029" s="75"/>
      <c r="CG1029" s="75"/>
      <c r="CH1029" s="75"/>
      <c r="CI1029" s="75"/>
      <c r="CJ1029" s="75"/>
      <c r="CK1029" s="75"/>
      <c r="CL1029" s="75"/>
      <c r="CM1029" s="75"/>
      <c r="CN1029" s="75"/>
      <c r="CO1029" s="75"/>
      <c r="CP1029" s="75"/>
      <c r="CQ1029" s="75"/>
      <c r="CR1029" s="75"/>
      <c r="CS1029" s="75"/>
    </row>
    <row r="1030" spans="1:97" ht="12.75" customHeight="1">
      <c r="A1030" s="76"/>
      <c r="B1030" s="80"/>
      <c r="C1030" s="17"/>
      <c r="D1030" s="1581"/>
      <c r="E1030" s="1581"/>
      <c r="F1030" s="1581"/>
      <c r="G1030" s="1581"/>
      <c r="H1030" s="1581"/>
      <c r="I1030" s="1581"/>
      <c r="J1030" s="1581"/>
      <c r="K1030" s="1581"/>
      <c r="L1030" s="1581"/>
      <c r="M1030" s="1581"/>
      <c r="N1030" s="1581"/>
      <c r="O1030" s="1581"/>
      <c r="P1030" s="1581"/>
      <c r="Q1030" s="1581"/>
      <c r="R1030" s="1581"/>
      <c r="S1030" s="1581"/>
      <c r="T1030" s="1581"/>
      <c r="U1030" s="1581"/>
      <c r="V1030" s="1581"/>
      <c r="W1030" s="1581"/>
      <c r="X1030" s="1581"/>
      <c r="Y1030" s="1581"/>
      <c r="Z1030" s="1581"/>
      <c r="AA1030" s="1581"/>
      <c r="AB1030" s="1581"/>
      <c r="AC1030" s="1581"/>
      <c r="AD1030" s="1581"/>
      <c r="AE1030" s="1581"/>
      <c r="AF1030" s="1581"/>
      <c r="AG1030" s="1581"/>
      <c r="AH1030" s="1581"/>
      <c r="AI1030" s="1581"/>
      <c r="AJ1030" s="1581"/>
      <c r="AK1030" s="1581"/>
      <c r="AM1030" s="66"/>
      <c r="AN1030" s="66"/>
      <c r="AO1030" s="30"/>
      <c r="AP1030" s="30"/>
      <c r="AQ1030" s="30"/>
      <c r="AR1030" s="30"/>
      <c r="AS1030" s="30"/>
      <c r="AT1030" s="70"/>
      <c r="AU1030" s="70"/>
      <c r="AV1030" s="70"/>
      <c r="AW1030" s="70"/>
      <c r="AX1030" s="70"/>
      <c r="AY1030" s="70"/>
      <c r="AZ1030" s="70"/>
      <c r="BA1030" s="70"/>
      <c r="BO1030" s="75"/>
      <c r="BP1030" s="75"/>
      <c r="BQ1030" s="75"/>
      <c r="BR1030" s="75"/>
      <c r="BS1030" s="75"/>
      <c r="BT1030" s="75"/>
      <c r="BU1030" s="75"/>
      <c r="BV1030" s="75"/>
      <c r="BW1030" s="75"/>
      <c r="BX1030" s="75"/>
      <c r="BY1030" s="75"/>
      <c r="BZ1030" s="75"/>
      <c r="CA1030" s="75"/>
      <c r="CB1030" s="75"/>
      <c r="CC1030" s="75"/>
      <c r="CD1030" s="75"/>
      <c r="CE1030" s="75"/>
      <c r="CF1030" s="75"/>
      <c r="CG1030" s="75"/>
      <c r="CH1030" s="75"/>
      <c r="CI1030" s="75"/>
      <c r="CJ1030" s="75"/>
      <c r="CK1030" s="75"/>
      <c r="CL1030" s="75"/>
      <c r="CM1030" s="75"/>
      <c r="CN1030" s="75"/>
      <c r="CO1030" s="75"/>
      <c r="CP1030" s="75"/>
      <c r="CQ1030" s="75"/>
      <c r="CR1030" s="75"/>
      <c r="CS1030" s="75"/>
    </row>
    <row r="1031" spans="1:97" ht="12.75" customHeight="1">
      <c r="A1031" s="76"/>
      <c r="B1031" s="80"/>
      <c r="C1031" s="17"/>
      <c r="D1031" s="1581"/>
      <c r="E1031" s="1581"/>
      <c r="F1031" s="1581"/>
      <c r="G1031" s="1581"/>
      <c r="H1031" s="1581"/>
      <c r="I1031" s="1581"/>
      <c r="J1031" s="1581"/>
      <c r="K1031" s="1581"/>
      <c r="L1031" s="1581"/>
      <c r="M1031" s="1581"/>
      <c r="N1031" s="1581"/>
      <c r="O1031" s="1581"/>
      <c r="P1031" s="1581"/>
      <c r="Q1031" s="1581"/>
      <c r="R1031" s="1581"/>
      <c r="S1031" s="1581"/>
      <c r="T1031" s="1581"/>
      <c r="U1031" s="1581"/>
      <c r="V1031" s="1581"/>
      <c r="W1031" s="1581"/>
      <c r="X1031" s="1581"/>
      <c r="Y1031" s="1581"/>
      <c r="Z1031" s="1581"/>
      <c r="AA1031" s="1581"/>
      <c r="AB1031" s="1581"/>
      <c r="AC1031" s="1581"/>
      <c r="AD1031" s="1581"/>
      <c r="AE1031" s="1581"/>
      <c r="AF1031" s="1581"/>
      <c r="AG1031" s="1581"/>
      <c r="AH1031" s="1581"/>
      <c r="AI1031" s="1581"/>
      <c r="AJ1031" s="1581"/>
      <c r="AK1031" s="1581"/>
      <c r="AM1031" s="66"/>
      <c r="AN1031" s="66"/>
      <c r="AO1031" s="30"/>
      <c r="AP1031" s="30"/>
      <c r="AQ1031" s="30"/>
      <c r="AR1031" s="30"/>
      <c r="AS1031" s="30"/>
      <c r="AT1031" s="70"/>
      <c r="AU1031" s="70"/>
      <c r="AV1031" s="70"/>
      <c r="AW1031" s="70"/>
      <c r="AX1031" s="70"/>
      <c r="AY1031" s="70"/>
      <c r="AZ1031" s="70"/>
      <c r="BA1031" s="70"/>
      <c r="BO1031" s="75"/>
      <c r="BP1031" s="75"/>
      <c r="BQ1031" s="75"/>
      <c r="BR1031" s="75"/>
      <c r="BS1031" s="75"/>
      <c r="BT1031" s="75"/>
      <c r="BU1031" s="75"/>
      <c r="BV1031" s="75"/>
      <c r="BW1031" s="75"/>
      <c r="BX1031" s="75"/>
      <c r="BY1031" s="75"/>
      <c r="BZ1031" s="75"/>
      <c r="CA1031" s="75"/>
      <c r="CB1031" s="75"/>
      <c r="CC1031" s="75"/>
      <c r="CD1031" s="75"/>
      <c r="CE1031" s="75"/>
      <c r="CF1031" s="75"/>
      <c r="CG1031" s="75"/>
      <c r="CH1031" s="75"/>
      <c r="CI1031" s="75"/>
      <c r="CJ1031" s="75"/>
      <c r="CK1031" s="75"/>
      <c r="CL1031" s="75"/>
      <c r="CM1031" s="75"/>
      <c r="CN1031" s="75"/>
      <c r="CO1031" s="75"/>
      <c r="CP1031" s="75"/>
      <c r="CQ1031" s="75"/>
      <c r="CR1031" s="75"/>
      <c r="CS1031" s="75"/>
    </row>
    <row r="1032" spans="1:97" ht="12.75" customHeight="1">
      <c r="A1032" s="76"/>
      <c r="B1032" s="80"/>
      <c r="C1032" s="17"/>
      <c r="D1032" s="1581"/>
      <c r="E1032" s="1581"/>
      <c r="F1032" s="1581"/>
      <c r="G1032" s="1581"/>
      <c r="H1032" s="1581"/>
      <c r="I1032" s="1581"/>
      <c r="J1032" s="1581"/>
      <c r="K1032" s="1581"/>
      <c r="L1032" s="1581"/>
      <c r="M1032" s="1581"/>
      <c r="N1032" s="1581"/>
      <c r="O1032" s="1581"/>
      <c r="P1032" s="1581"/>
      <c r="Q1032" s="1581"/>
      <c r="R1032" s="1581"/>
      <c r="S1032" s="1581"/>
      <c r="T1032" s="1581"/>
      <c r="U1032" s="1581"/>
      <c r="V1032" s="1581"/>
      <c r="W1032" s="1581"/>
      <c r="X1032" s="1581"/>
      <c r="Y1032" s="1581"/>
      <c r="Z1032" s="1581"/>
      <c r="AA1032" s="1581"/>
      <c r="AB1032" s="1581"/>
      <c r="AC1032" s="1581"/>
      <c r="AD1032" s="1581"/>
      <c r="AE1032" s="1581"/>
      <c r="AF1032" s="1581"/>
      <c r="AG1032" s="1581"/>
      <c r="AH1032" s="1581"/>
      <c r="AI1032" s="1581"/>
      <c r="AJ1032" s="1581"/>
      <c r="AK1032" s="1581"/>
      <c r="AM1032" s="66"/>
      <c r="AN1032" s="66"/>
      <c r="AO1032" s="30"/>
      <c r="AP1032" s="30"/>
      <c r="AQ1032" s="30"/>
      <c r="AR1032" s="30"/>
      <c r="AS1032" s="30"/>
      <c r="AT1032" s="70"/>
      <c r="AU1032" s="70"/>
      <c r="AV1032" s="70"/>
      <c r="AW1032" s="70"/>
      <c r="AX1032" s="70"/>
      <c r="AY1032" s="70"/>
      <c r="AZ1032" s="70"/>
      <c r="BA1032" s="70"/>
      <c r="BO1032" s="75"/>
      <c r="BP1032" s="75"/>
      <c r="BQ1032" s="75"/>
      <c r="BR1032" s="75"/>
      <c r="BS1032" s="75"/>
      <c r="BT1032" s="75"/>
      <c r="BU1032" s="75"/>
      <c r="BV1032" s="75"/>
      <c r="BW1032" s="75"/>
      <c r="BX1032" s="75"/>
      <c r="BY1032" s="75"/>
      <c r="BZ1032" s="75"/>
      <c r="CA1032" s="75"/>
      <c r="CB1032" s="75"/>
      <c r="CC1032" s="75"/>
      <c r="CD1032" s="75"/>
      <c r="CE1032" s="75"/>
      <c r="CF1032" s="75"/>
      <c r="CG1032" s="75"/>
      <c r="CH1032" s="75"/>
      <c r="CI1032" s="75"/>
      <c r="CJ1032" s="75"/>
      <c r="CK1032" s="75"/>
      <c r="CL1032" s="75"/>
      <c r="CM1032" s="75"/>
      <c r="CN1032" s="75"/>
      <c r="CO1032" s="75"/>
      <c r="CP1032" s="75"/>
      <c r="CQ1032" s="75"/>
      <c r="CR1032" s="75"/>
      <c r="CS1032" s="75"/>
    </row>
    <row r="1033" spans="1:97" ht="12.75" customHeight="1">
      <c r="A1033" s="76"/>
      <c r="B1033" s="80"/>
      <c r="C1033" s="17"/>
      <c r="D1033" s="1581"/>
      <c r="E1033" s="1581"/>
      <c r="F1033" s="1581"/>
      <c r="G1033" s="1581"/>
      <c r="H1033" s="1581"/>
      <c r="I1033" s="1581"/>
      <c r="J1033" s="1581"/>
      <c r="K1033" s="1581"/>
      <c r="L1033" s="1581"/>
      <c r="M1033" s="1581"/>
      <c r="N1033" s="1581"/>
      <c r="O1033" s="1581"/>
      <c r="P1033" s="1581"/>
      <c r="Q1033" s="1581"/>
      <c r="R1033" s="1581"/>
      <c r="S1033" s="1581"/>
      <c r="T1033" s="1581"/>
      <c r="U1033" s="1581"/>
      <c r="V1033" s="1581"/>
      <c r="W1033" s="1581"/>
      <c r="X1033" s="1581"/>
      <c r="Y1033" s="1581"/>
      <c r="Z1033" s="1581"/>
      <c r="AA1033" s="1581"/>
      <c r="AB1033" s="1581"/>
      <c r="AC1033" s="1581"/>
      <c r="AD1033" s="1581"/>
      <c r="AE1033" s="1581"/>
      <c r="AF1033" s="1581"/>
      <c r="AG1033" s="1581"/>
      <c r="AH1033" s="1581"/>
      <c r="AI1033" s="1581"/>
      <c r="AJ1033" s="1581"/>
      <c r="AK1033" s="1581"/>
      <c r="AM1033" s="66"/>
      <c r="AN1033" s="66"/>
      <c r="AO1033" s="30"/>
      <c r="AP1033" s="30"/>
      <c r="AQ1033" s="30"/>
      <c r="AR1033" s="30"/>
      <c r="AS1033" s="30"/>
      <c r="AT1033" s="70"/>
      <c r="AU1033" s="70"/>
      <c r="AV1033" s="70"/>
      <c r="AW1033" s="70"/>
      <c r="AX1033" s="70"/>
      <c r="AY1033" s="70"/>
      <c r="AZ1033" s="70"/>
      <c r="BA1033" s="70"/>
      <c r="BO1033" s="75"/>
      <c r="BP1033" s="75"/>
      <c r="BQ1033" s="75"/>
      <c r="BR1033" s="75"/>
      <c r="BS1033" s="75"/>
      <c r="BT1033" s="75"/>
      <c r="BU1033" s="75"/>
      <c r="BV1033" s="75"/>
      <c r="BW1033" s="75"/>
      <c r="BX1033" s="75"/>
      <c r="BY1033" s="75"/>
      <c r="BZ1033" s="75"/>
      <c r="CA1033" s="75"/>
      <c r="CB1033" s="75"/>
      <c r="CC1033" s="75"/>
      <c r="CD1033" s="75"/>
      <c r="CE1033" s="75"/>
      <c r="CF1033" s="75"/>
      <c r="CG1033" s="75"/>
      <c r="CH1033" s="75"/>
      <c r="CI1033" s="75"/>
      <c r="CJ1033" s="75"/>
      <c r="CK1033" s="75"/>
      <c r="CL1033" s="75"/>
      <c r="CM1033" s="75"/>
      <c r="CN1033" s="75"/>
      <c r="CO1033" s="75"/>
      <c r="CP1033" s="75"/>
      <c r="CQ1033" s="75"/>
      <c r="CR1033" s="75"/>
      <c r="CS1033" s="75"/>
    </row>
    <row r="1034" spans="1:97" ht="12.75" customHeight="1">
      <c r="A1034" s="1786" t="s">
        <v>136</v>
      </c>
      <c r="B1034" s="1786"/>
      <c r="C1034" s="17">
        <v>4</v>
      </c>
      <c r="D1034" s="1581" t="s">
        <v>1709</v>
      </c>
      <c r="E1034" s="1581"/>
      <c r="F1034" s="1581"/>
      <c r="G1034" s="1581"/>
      <c r="H1034" s="1581"/>
      <c r="I1034" s="1581"/>
      <c r="J1034" s="1581"/>
      <c r="K1034" s="1581"/>
      <c r="L1034" s="1581"/>
      <c r="M1034" s="1581"/>
      <c r="N1034" s="1581"/>
      <c r="O1034" s="1581"/>
      <c r="P1034" s="1581"/>
      <c r="Q1034" s="1581"/>
      <c r="R1034" s="1581"/>
      <c r="S1034" s="1581"/>
      <c r="T1034" s="1581"/>
      <c r="U1034" s="1581"/>
      <c r="V1034" s="1581"/>
      <c r="W1034" s="1581"/>
      <c r="X1034" s="1581"/>
      <c r="Y1034" s="1581"/>
      <c r="Z1034" s="1581"/>
      <c r="AA1034" s="1581"/>
      <c r="AB1034" s="1581"/>
      <c r="AC1034" s="1581"/>
      <c r="AD1034" s="1581"/>
      <c r="AE1034" s="1581"/>
      <c r="AF1034" s="1581"/>
      <c r="AG1034" s="1581"/>
      <c r="AH1034" s="1581"/>
      <c r="AI1034" s="1581"/>
      <c r="AJ1034" s="1581"/>
      <c r="AK1034" s="1581"/>
      <c r="AM1034" s="66"/>
      <c r="AN1034" s="66"/>
      <c r="AO1034" s="30"/>
      <c r="AP1034" s="30"/>
      <c r="AQ1034" s="30"/>
      <c r="AR1034" s="30"/>
      <c r="AS1034" s="30"/>
      <c r="AT1034" s="70"/>
      <c r="AU1034" s="70"/>
      <c r="AV1034" s="70"/>
      <c r="AW1034" s="70"/>
      <c r="AX1034" s="70"/>
      <c r="AY1034" s="70"/>
      <c r="AZ1034" s="70"/>
      <c r="BA1034" s="70"/>
      <c r="BO1034" s="75"/>
      <c r="BP1034" s="75"/>
      <c r="BQ1034" s="75"/>
      <c r="BR1034" s="75"/>
      <c r="BS1034" s="75"/>
      <c r="BT1034" s="75"/>
      <c r="BU1034" s="75"/>
      <c r="BV1034" s="75"/>
      <c r="BW1034" s="75"/>
      <c r="BX1034" s="75"/>
      <c r="BY1034" s="75"/>
      <c r="BZ1034" s="75"/>
      <c r="CA1034" s="75"/>
      <c r="CB1034" s="75"/>
      <c r="CC1034" s="75"/>
      <c r="CD1034" s="75"/>
      <c r="CE1034" s="75"/>
      <c r="CF1034" s="75"/>
      <c r="CG1034" s="75"/>
      <c r="CH1034" s="75"/>
      <c r="CI1034" s="75"/>
      <c r="CJ1034" s="75"/>
      <c r="CK1034" s="75"/>
      <c r="CL1034" s="75"/>
      <c r="CM1034" s="75"/>
      <c r="CN1034" s="75"/>
      <c r="CO1034" s="75"/>
      <c r="CP1034" s="75"/>
      <c r="CQ1034" s="75"/>
      <c r="CR1034" s="75"/>
      <c r="CS1034" s="75"/>
    </row>
    <row r="1035" spans="1:97" ht="12.75" customHeight="1">
      <c r="A1035" s="390"/>
      <c r="B1035" s="390"/>
      <c r="C1035" s="17"/>
      <c r="D1035" s="1581"/>
      <c r="E1035" s="1581"/>
      <c r="F1035" s="1581"/>
      <c r="G1035" s="1581"/>
      <c r="H1035" s="1581"/>
      <c r="I1035" s="1581"/>
      <c r="J1035" s="1581"/>
      <c r="K1035" s="1581"/>
      <c r="L1035" s="1581"/>
      <c r="M1035" s="1581"/>
      <c r="N1035" s="1581"/>
      <c r="O1035" s="1581"/>
      <c r="P1035" s="1581"/>
      <c r="Q1035" s="1581"/>
      <c r="R1035" s="1581"/>
      <c r="S1035" s="1581"/>
      <c r="T1035" s="1581"/>
      <c r="U1035" s="1581"/>
      <c r="V1035" s="1581"/>
      <c r="W1035" s="1581"/>
      <c r="X1035" s="1581"/>
      <c r="Y1035" s="1581"/>
      <c r="Z1035" s="1581"/>
      <c r="AA1035" s="1581"/>
      <c r="AB1035" s="1581"/>
      <c r="AC1035" s="1581"/>
      <c r="AD1035" s="1581"/>
      <c r="AE1035" s="1581"/>
      <c r="AF1035" s="1581"/>
      <c r="AG1035" s="1581"/>
      <c r="AH1035" s="1581"/>
      <c r="AI1035" s="1581"/>
      <c r="AJ1035" s="1581"/>
      <c r="AK1035" s="1581"/>
      <c r="AM1035" s="66"/>
      <c r="AN1035" s="66"/>
      <c r="AO1035" s="30"/>
      <c r="AP1035" s="30"/>
      <c r="AQ1035" s="30"/>
      <c r="AR1035" s="30"/>
      <c r="AS1035" s="30"/>
      <c r="AT1035" s="70"/>
      <c r="AU1035" s="70"/>
      <c r="AV1035" s="70"/>
      <c r="AW1035" s="70"/>
      <c r="AX1035" s="70"/>
      <c r="AY1035" s="70"/>
      <c r="AZ1035" s="70"/>
      <c r="BA1035" s="70"/>
      <c r="BO1035" s="75"/>
      <c r="BP1035" s="75"/>
      <c r="BQ1035" s="75"/>
      <c r="BR1035" s="75"/>
      <c r="BS1035" s="75"/>
      <c r="BT1035" s="75"/>
      <c r="BU1035" s="75"/>
      <c r="BV1035" s="75"/>
      <c r="BW1035" s="75"/>
      <c r="BX1035" s="75"/>
      <c r="BY1035" s="75"/>
      <c r="BZ1035" s="75"/>
      <c r="CA1035" s="75"/>
      <c r="CB1035" s="75"/>
      <c r="CC1035" s="75"/>
      <c r="CD1035" s="75"/>
      <c r="CE1035" s="75"/>
      <c r="CF1035" s="75"/>
      <c r="CG1035" s="75"/>
      <c r="CH1035" s="75"/>
      <c r="CI1035" s="75"/>
      <c r="CJ1035" s="75"/>
      <c r="CK1035" s="75"/>
      <c r="CL1035" s="75"/>
      <c r="CM1035" s="75"/>
      <c r="CN1035" s="75"/>
      <c r="CO1035" s="75"/>
      <c r="CP1035" s="75"/>
      <c r="CQ1035" s="75"/>
      <c r="CR1035" s="75"/>
      <c r="CS1035" s="75"/>
    </row>
    <row r="1036" spans="1:97" ht="12.75" customHeight="1">
      <c r="A1036" s="76"/>
      <c r="B1036" s="80"/>
      <c r="C1036" s="17"/>
      <c r="D1036" s="1581"/>
      <c r="E1036" s="1581"/>
      <c r="F1036" s="1581"/>
      <c r="G1036" s="1581"/>
      <c r="H1036" s="1581"/>
      <c r="I1036" s="1581"/>
      <c r="J1036" s="1581"/>
      <c r="K1036" s="1581"/>
      <c r="L1036" s="1581"/>
      <c r="M1036" s="1581"/>
      <c r="N1036" s="1581"/>
      <c r="O1036" s="1581"/>
      <c r="P1036" s="1581"/>
      <c r="Q1036" s="1581"/>
      <c r="R1036" s="1581"/>
      <c r="S1036" s="1581"/>
      <c r="T1036" s="1581"/>
      <c r="U1036" s="1581"/>
      <c r="V1036" s="1581"/>
      <c r="W1036" s="1581"/>
      <c r="X1036" s="1581"/>
      <c r="Y1036" s="1581"/>
      <c r="Z1036" s="1581"/>
      <c r="AA1036" s="1581"/>
      <c r="AB1036" s="1581"/>
      <c r="AC1036" s="1581"/>
      <c r="AD1036" s="1581"/>
      <c r="AE1036" s="1581"/>
      <c r="AF1036" s="1581"/>
      <c r="AG1036" s="1581"/>
      <c r="AH1036" s="1581"/>
      <c r="AI1036" s="1581"/>
      <c r="AJ1036" s="1581"/>
      <c r="AK1036" s="1581"/>
      <c r="AM1036" s="66"/>
      <c r="AN1036" s="66"/>
      <c r="AO1036" s="30"/>
      <c r="AP1036" s="30"/>
      <c r="AQ1036" s="30"/>
      <c r="AR1036" s="30"/>
      <c r="AS1036" s="30"/>
      <c r="AT1036" s="70"/>
      <c r="AU1036" s="70"/>
      <c r="AV1036" s="70"/>
      <c r="AW1036" s="70"/>
      <c r="AX1036" s="70"/>
      <c r="AY1036" s="70"/>
      <c r="AZ1036" s="70"/>
      <c r="BA1036" s="70"/>
      <c r="BO1036" s="75"/>
      <c r="BP1036" s="75"/>
      <c r="BQ1036" s="75"/>
      <c r="BR1036" s="75"/>
      <c r="BS1036" s="75"/>
      <c r="BT1036" s="75"/>
      <c r="BU1036" s="75"/>
      <c r="BV1036" s="75"/>
      <c r="BW1036" s="75"/>
      <c r="BX1036" s="75"/>
      <c r="BY1036" s="75"/>
      <c r="BZ1036" s="75"/>
      <c r="CA1036" s="75"/>
      <c r="CB1036" s="75"/>
      <c r="CC1036" s="75"/>
      <c r="CD1036" s="75"/>
      <c r="CE1036" s="75"/>
      <c r="CF1036" s="75"/>
      <c r="CG1036" s="75"/>
      <c r="CH1036" s="75"/>
      <c r="CI1036" s="75"/>
      <c r="CJ1036" s="75"/>
      <c r="CK1036" s="75"/>
      <c r="CL1036" s="75"/>
      <c r="CM1036" s="75"/>
      <c r="CN1036" s="75"/>
      <c r="CO1036" s="75"/>
      <c r="CP1036" s="75"/>
      <c r="CQ1036" s="75"/>
      <c r="CR1036" s="75"/>
      <c r="CS1036" s="75"/>
    </row>
    <row r="1037" spans="1:97" ht="12.6" customHeight="1">
      <c r="A1037" s="1786" t="s">
        <v>136</v>
      </c>
      <c r="B1037" s="1786"/>
      <c r="C1037" s="17">
        <v>5</v>
      </c>
      <c r="D1037" s="1582" t="s">
        <v>1943</v>
      </c>
      <c r="E1037" s="1581"/>
      <c r="F1037" s="1581"/>
      <c r="G1037" s="1581"/>
      <c r="H1037" s="1581"/>
      <c r="I1037" s="1581"/>
      <c r="J1037" s="1581"/>
      <c r="K1037" s="1581"/>
      <c r="L1037" s="1581"/>
      <c r="M1037" s="1581"/>
      <c r="N1037" s="1581"/>
      <c r="O1037" s="1581"/>
      <c r="P1037" s="1581"/>
      <c r="Q1037" s="1581"/>
      <c r="R1037" s="1581"/>
      <c r="S1037" s="1581"/>
      <c r="T1037" s="1581"/>
      <c r="U1037" s="1581"/>
      <c r="V1037" s="1581"/>
      <c r="W1037" s="1581"/>
      <c r="X1037" s="1581"/>
      <c r="Y1037" s="1581"/>
      <c r="Z1037" s="1581"/>
      <c r="AA1037" s="1581"/>
      <c r="AB1037" s="1581"/>
      <c r="AC1037" s="1581"/>
      <c r="AD1037" s="1581"/>
      <c r="AE1037" s="1581"/>
      <c r="AF1037" s="1581"/>
      <c r="AG1037" s="1581"/>
      <c r="AH1037" s="1581"/>
      <c r="AI1037" s="1581"/>
      <c r="AJ1037" s="1581"/>
      <c r="AK1037" s="1581"/>
      <c r="AM1037" s="66"/>
      <c r="AN1037" s="66"/>
      <c r="AO1037" s="30"/>
      <c r="AP1037" s="30"/>
      <c r="AQ1037" s="30"/>
      <c r="AR1037" s="30"/>
      <c r="AS1037" s="30"/>
      <c r="AT1037" s="70"/>
      <c r="AU1037" s="70"/>
      <c r="AV1037" s="70"/>
      <c r="AW1037" s="70"/>
      <c r="AX1037" s="70"/>
      <c r="AY1037" s="70"/>
      <c r="AZ1037" s="70"/>
      <c r="BA1037" s="70"/>
      <c r="BO1037" s="75"/>
      <c r="BP1037" s="75"/>
      <c r="BQ1037" s="75"/>
      <c r="BR1037" s="75"/>
      <c r="BS1037" s="75"/>
      <c r="BT1037" s="75"/>
      <c r="BU1037" s="75"/>
      <c r="BV1037" s="75"/>
      <c r="BW1037" s="75"/>
      <c r="BX1037" s="75"/>
      <c r="BY1037" s="75"/>
      <c r="BZ1037" s="75"/>
      <c r="CA1037" s="75"/>
      <c r="CB1037" s="75"/>
      <c r="CC1037" s="75"/>
      <c r="CD1037" s="75"/>
      <c r="CE1037" s="75"/>
      <c r="CF1037" s="75"/>
      <c r="CG1037" s="75"/>
      <c r="CH1037" s="75"/>
      <c r="CI1037" s="75"/>
      <c r="CJ1037" s="75"/>
      <c r="CK1037" s="75"/>
      <c r="CL1037" s="75"/>
      <c r="CM1037" s="75"/>
      <c r="CN1037" s="75"/>
      <c r="CO1037" s="75"/>
      <c r="CP1037" s="75"/>
      <c r="CQ1037" s="75"/>
      <c r="CR1037" s="75"/>
      <c r="CS1037" s="75"/>
    </row>
    <row r="1038" spans="1:97" ht="12.6" customHeight="1">
      <c r="A1038" s="390"/>
      <c r="B1038" s="390"/>
      <c r="C1038" s="17"/>
      <c r="D1038" s="1581"/>
      <c r="E1038" s="1581"/>
      <c r="F1038" s="1581"/>
      <c r="G1038" s="1581"/>
      <c r="H1038" s="1581"/>
      <c r="I1038" s="1581"/>
      <c r="J1038" s="1581"/>
      <c r="K1038" s="1581"/>
      <c r="L1038" s="1581"/>
      <c r="M1038" s="1581"/>
      <c r="N1038" s="1581"/>
      <c r="O1038" s="1581"/>
      <c r="P1038" s="1581"/>
      <c r="Q1038" s="1581"/>
      <c r="R1038" s="1581"/>
      <c r="S1038" s="1581"/>
      <c r="T1038" s="1581"/>
      <c r="U1038" s="1581"/>
      <c r="V1038" s="1581"/>
      <c r="W1038" s="1581"/>
      <c r="X1038" s="1581"/>
      <c r="Y1038" s="1581"/>
      <c r="Z1038" s="1581"/>
      <c r="AA1038" s="1581"/>
      <c r="AB1038" s="1581"/>
      <c r="AC1038" s="1581"/>
      <c r="AD1038" s="1581"/>
      <c r="AE1038" s="1581"/>
      <c r="AF1038" s="1581"/>
      <c r="AG1038" s="1581"/>
      <c r="AH1038" s="1581"/>
      <c r="AI1038" s="1581"/>
      <c r="AJ1038" s="1581"/>
      <c r="AK1038" s="1581"/>
      <c r="AM1038" s="75"/>
      <c r="AN1038" s="75"/>
      <c r="AO1038" s="75"/>
      <c r="AP1038" s="75"/>
      <c r="AQ1038" s="75"/>
      <c r="AR1038" s="75"/>
      <c r="AS1038" s="75"/>
      <c r="AT1038" s="75"/>
      <c r="AU1038" s="75"/>
      <c r="AV1038" s="75"/>
      <c r="AW1038" s="75"/>
      <c r="AX1038" s="75"/>
      <c r="AY1038" s="75"/>
      <c r="AZ1038" s="75"/>
      <c r="BA1038" s="75"/>
      <c r="BB1038" s="75"/>
      <c r="BC1038" s="75"/>
      <c r="BD1038" s="75"/>
      <c r="BE1038" s="75"/>
      <c r="BF1038" s="75"/>
      <c r="BG1038" s="75"/>
      <c r="BH1038" s="75"/>
      <c r="BI1038" s="75"/>
      <c r="BJ1038" s="75"/>
      <c r="BK1038" s="75"/>
      <c r="BL1038" s="75"/>
      <c r="BM1038" s="75"/>
      <c r="BN1038" s="75"/>
      <c r="BO1038" s="75"/>
      <c r="BP1038" s="75"/>
      <c r="BQ1038" s="75"/>
      <c r="BR1038" s="75"/>
      <c r="BS1038" s="75"/>
      <c r="BT1038" s="75"/>
      <c r="BU1038" s="75"/>
      <c r="BV1038" s="75"/>
      <c r="BW1038" s="75"/>
      <c r="BX1038" s="75"/>
      <c r="BY1038" s="75"/>
      <c r="BZ1038" s="75"/>
      <c r="CA1038" s="75"/>
      <c r="CB1038" s="75"/>
      <c r="CC1038" s="75"/>
      <c r="CD1038" s="75"/>
      <c r="CE1038" s="75"/>
      <c r="CF1038" s="75"/>
      <c r="CG1038" s="75"/>
      <c r="CH1038" s="75"/>
      <c r="CI1038" s="75"/>
      <c r="CJ1038" s="75"/>
      <c r="CK1038" s="75"/>
      <c r="CL1038" s="75"/>
      <c r="CM1038" s="75"/>
      <c r="CN1038" s="75"/>
      <c r="CO1038" s="75"/>
      <c r="CP1038" s="75"/>
      <c r="CQ1038" s="75"/>
      <c r="CR1038" s="75"/>
      <c r="CS1038" s="75"/>
    </row>
    <row r="1039" spans="1:97" ht="12.75" customHeight="1">
      <c r="A1039" s="390"/>
      <c r="B1039" s="390"/>
      <c r="C1039" s="17"/>
      <c r="D1039" s="1581"/>
      <c r="E1039" s="1581"/>
      <c r="F1039" s="1581"/>
      <c r="G1039" s="1581"/>
      <c r="H1039" s="1581"/>
      <c r="I1039" s="1581"/>
      <c r="J1039" s="1581"/>
      <c r="K1039" s="1581"/>
      <c r="L1039" s="1581"/>
      <c r="M1039" s="1581"/>
      <c r="N1039" s="1581"/>
      <c r="O1039" s="1581"/>
      <c r="P1039" s="1581"/>
      <c r="Q1039" s="1581"/>
      <c r="R1039" s="1581"/>
      <c r="S1039" s="1581"/>
      <c r="T1039" s="1581"/>
      <c r="U1039" s="1581"/>
      <c r="V1039" s="1581"/>
      <c r="W1039" s="1581"/>
      <c r="X1039" s="1581"/>
      <c r="Y1039" s="1581"/>
      <c r="Z1039" s="1581"/>
      <c r="AA1039" s="1581"/>
      <c r="AB1039" s="1581"/>
      <c r="AC1039" s="1581"/>
      <c r="AD1039" s="1581"/>
      <c r="AE1039" s="1581"/>
      <c r="AF1039" s="1581"/>
      <c r="AG1039" s="1581"/>
      <c r="AH1039" s="1581"/>
      <c r="AI1039" s="1581"/>
      <c r="AJ1039" s="1581"/>
      <c r="AK1039" s="1581"/>
      <c r="AM1039" s="75"/>
      <c r="AN1039" s="75"/>
      <c r="AO1039" s="75"/>
      <c r="AP1039" s="75"/>
      <c r="AQ1039" s="75"/>
      <c r="AR1039" s="75"/>
      <c r="AS1039" s="75"/>
      <c r="AT1039" s="75"/>
      <c r="AU1039" s="75"/>
      <c r="AV1039" s="75"/>
      <c r="AW1039" s="75"/>
      <c r="AX1039" s="75"/>
      <c r="AY1039" s="75"/>
      <c r="AZ1039" s="75"/>
      <c r="BA1039" s="75"/>
      <c r="BB1039" s="75"/>
      <c r="BC1039" s="75"/>
      <c r="BD1039" s="75"/>
      <c r="BE1039" s="75"/>
      <c r="BF1039" s="75"/>
      <c r="BG1039" s="75"/>
      <c r="BH1039" s="75"/>
      <c r="BI1039" s="75"/>
      <c r="BJ1039" s="75"/>
      <c r="BK1039" s="75"/>
      <c r="BL1039" s="75"/>
      <c r="BM1039" s="75"/>
      <c r="BN1039" s="75"/>
      <c r="BO1039" s="75"/>
      <c r="BP1039" s="75"/>
      <c r="BQ1039" s="75"/>
      <c r="BR1039" s="75"/>
      <c r="BS1039" s="75"/>
      <c r="BT1039" s="75"/>
      <c r="BU1039" s="75"/>
      <c r="BV1039" s="75"/>
      <c r="BW1039" s="75"/>
      <c r="BX1039" s="75"/>
      <c r="BY1039" s="75"/>
      <c r="BZ1039" s="75"/>
      <c r="CA1039" s="75"/>
      <c r="CB1039" s="75"/>
      <c r="CC1039" s="75"/>
      <c r="CD1039" s="75"/>
      <c r="CE1039" s="75"/>
      <c r="CF1039" s="75"/>
      <c r="CG1039" s="75"/>
      <c r="CH1039" s="75"/>
      <c r="CI1039" s="75"/>
      <c r="CJ1039" s="75"/>
      <c r="CK1039" s="75"/>
      <c r="CL1039" s="75"/>
      <c r="CM1039" s="75"/>
      <c r="CN1039" s="75"/>
      <c r="CO1039" s="75"/>
      <c r="CP1039" s="75"/>
      <c r="CQ1039" s="75"/>
      <c r="CR1039" s="75"/>
      <c r="CS1039" s="75"/>
    </row>
    <row r="1040" spans="1:97" ht="12.75" customHeight="1">
      <c r="A1040" s="390"/>
      <c r="B1040" s="390"/>
      <c r="C1040" s="17"/>
      <c r="D1040" s="1581"/>
      <c r="E1040" s="1581"/>
      <c r="F1040" s="1581"/>
      <c r="G1040" s="1581"/>
      <c r="H1040" s="1581"/>
      <c r="I1040" s="1581"/>
      <c r="J1040" s="1581"/>
      <c r="K1040" s="1581"/>
      <c r="L1040" s="1581"/>
      <c r="M1040" s="1581"/>
      <c r="N1040" s="1581"/>
      <c r="O1040" s="1581"/>
      <c r="P1040" s="1581"/>
      <c r="Q1040" s="1581"/>
      <c r="R1040" s="1581"/>
      <c r="S1040" s="1581"/>
      <c r="T1040" s="1581"/>
      <c r="U1040" s="1581"/>
      <c r="V1040" s="1581"/>
      <c r="W1040" s="1581"/>
      <c r="X1040" s="1581"/>
      <c r="Y1040" s="1581"/>
      <c r="Z1040" s="1581"/>
      <c r="AA1040" s="1581"/>
      <c r="AB1040" s="1581"/>
      <c r="AC1040" s="1581"/>
      <c r="AD1040" s="1581"/>
      <c r="AE1040" s="1581"/>
      <c r="AF1040" s="1581"/>
      <c r="AG1040" s="1581"/>
      <c r="AH1040" s="1581"/>
      <c r="AI1040" s="1581"/>
      <c r="AJ1040" s="1581"/>
      <c r="AK1040" s="1581"/>
      <c r="AM1040" s="75"/>
      <c r="AN1040" s="75"/>
      <c r="AO1040" s="75"/>
      <c r="AP1040" s="75"/>
      <c r="AQ1040" s="75"/>
      <c r="AR1040" s="75"/>
      <c r="AS1040" s="75"/>
      <c r="AT1040" s="75"/>
      <c r="AU1040" s="75"/>
      <c r="AV1040" s="75"/>
      <c r="AW1040" s="75"/>
      <c r="AX1040" s="75"/>
      <c r="AY1040" s="75"/>
      <c r="AZ1040" s="75"/>
      <c r="BA1040" s="75"/>
      <c r="BB1040" s="75"/>
      <c r="BC1040" s="75"/>
      <c r="BD1040" s="75"/>
      <c r="BE1040" s="75"/>
      <c r="BF1040" s="75"/>
      <c r="BG1040" s="75"/>
      <c r="BH1040" s="75"/>
      <c r="BI1040" s="75"/>
      <c r="BJ1040" s="75"/>
      <c r="BK1040" s="75"/>
      <c r="BL1040" s="75"/>
      <c r="BM1040" s="75"/>
      <c r="BN1040" s="75"/>
      <c r="BO1040" s="75"/>
      <c r="BP1040" s="75"/>
      <c r="BQ1040" s="75"/>
      <c r="BR1040" s="75"/>
      <c r="BS1040" s="75"/>
      <c r="BT1040" s="75"/>
      <c r="BU1040" s="75"/>
      <c r="BV1040" s="75"/>
      <c r="BW1040" s="75"/>
      <c r="BX1040" s="75"/>
      <c r="BY1040" s="75"/>
      <c r="BZ1040" s="75"/>
      <c r="CA1040" s="75"/>
      <c r="CB1040" s="75"/>
      <c r="CC1040" s="75"/>
      <c r="CD1040" s="75"/>
      <c r="CE1040" s="75"/>
      <c r="CF1040" s="75"/>
      <c r="CG1040" s="75"/>
      <c r="CH1040" s="75"/>
      <c r="CI1040" s="75"/>
      <c r="CJ1040" s="75"/>
      <c r="CK1040" s="75"/>
      <c r="CL1040" s="75"/>
      <c r="CM1040" s="75"/>
      <c r="CN1040" s="75"/>
      <c r="CO1040" s="75"/>
      <c r="CP1040" s="75"/>
      <c r="CQ1040" s="75"/>
      <c r="CR1040" s="75"/>
      <c r="CS1040" s="75"/>
    </row>
    <row r="1041" spans="1:97" ht="12.75" customHeight="1">
      <c r="A1041" s="76"/>
      <c r="B1041" s="80"/>
      <c r="C1041" s="17"/>
      <c r="D1041" s="1581"/>
      <c r="E1041" s="1581"/>
      <c r="F1041" s="1581"/>
      <c r="G1041" s="1581"/>
      <c r="H1041" s="1581"/>
      <c r="I1041" s="1581"/>
      <c r="J1041" s="1581"/>
      <c r="K1041" s="1581"/>
      <c r="L1041" s="1581"/>
      <c r="M1041" s="1581"/>
      <c r="N1041" s="1581"/>
      <c r="O1041" s="1581"/>
      <c r="P1041" s="1581"/>
      <c r="Q1041" s="1581"/>
      <c r="R1041" s="1581"/>
      <c r="S1041" s="1581"/>
      <c r="T1041" s="1581"/>
      <c r="U1041" s="1581"/>
      <c r="V1041" s="1581"/>
      <c r="W1041" s="1581"/>
      <c r="X1041" s="1581"/>
      <c r="Y1041" s="1581"/>
      <c r="Z1041" s="1581"/>
      <c r="AA1041" s="1581"/>
      <c r="AB1041" s="1581"/>
      <c r="AC1041" s="1581"/>
      <c r="AD1041" s="1581"/>
      <c r="AE1041" s="1581"/>
      <c r="AF1041" s="1581"/>
      <c r="AG1041" s="1581"/>
      <c r="AH1041" s="1581"/>
      <c r="AI1041" s="1581"/>
      <c r="AJ1041" s="1581"/>
      <c r="AK1041" s="1581"/>
      <c r="AM1041" s="75"/>
      <c r="AN1041" s="75"/>
      <c r="AO1041" s="75"/>
      <c r="AP1041" s="75"/>
      <c r="AQ1041" s="75"/>
      <c r="AR1041" s="75"/>
      <c r="AS1041" s="75"/>
      <c r="AT1041" s="75"/>
      <c r="AU1041" s="75"/>
      <c r="AV1041" s="75"/>
      <c r="AW1041" s="75"/>
      <c r="AX1041" s="75"/>
      <c r="AY1041" s="75"/>
      <c r="AZ1041" s="75"/>
      <c r="BA1041" s="75"/>
      <c r="BB1041" s="75"/>
      <c r="BC1041" s="75"/>
      <c r="BD1041" s="75"/>
      <c r="BE1041" s="75"/>
      <c r="BF1041" s="75"/>
      <c r="BG1041" s="75"/>
      <c r="BH1041" s="75"/>
      <c r="BI1041" s="75"/>
      <c r="BJ1041" s="75"/>
      <c r="BK1041" s="75"/>
      <c r="BL1041" s="75"/>
      <c r="BM1041" s="75"/>
      <c r="BN1041" s="75"/>
      <c r="BO1041" s="75"/>
      <c r="BP1041" s="75"/>
      <c r="BQ1041" s="75"/>
      <c r="BR1041" s="75"/>
      <c r="BS1041" s="75"/>
      <c r="BT1041" s="75"/>
      <c r="BU1041" s="75"/>
      <c r="BV1041" s="75"/>
      <c r="BW1041" s="75"/>
      <c r="BX1041" s="75"/>
      <c r="BY1041" s="75"/>
      <c r="BZ1041" s="75"/>
      <c r="CA1041" s="75"/>
      <c r="CB1041" s="75"/>
      <c r="CC1041" s="75"/>
      <c r="CD1041" s="75"/>
      <c r="CE1041" s="75"/>
      <c r="CF1041" s="75"/>
      <c r="CG1041" s="75"/>
      <c r="CH1041" s="75"/>
      <c r="CI1041" s="75"/>
      <c r="CJ1041" s="75"/>
      <c r="CK1041" s="75"/>
      <c r="CL1041" s="75"/>
      <c r="CM1041" s="75"/>
      <c r="CN1041" s="75"/>
      <c r="CO1041" s="75"/>
      <c r="CP1041" s="75"/>
      <c r="CQ1041" s="75"/>
      <c r="CR1041" s="75"/>
      <c r="CS1041" s="75"/>
    </row>
    <row r="1042" spans="1:97" ht="12.75" customHeight="1">
      <c r="A1042" s="1786" t="s">
        <v>136</v>
      </c>
      <c r="B1042" s="1786"/>
      <c r="C1042" s="17">
        <v>6</v>
      </c>
      <c r="D1042" s="1581" t="s">
        <v>1710</v>
      </c>
      <c r="E1042" s="1581"/>
      <c r="F1042" s="1581"/>
      <c r="G1042" s="1581"/>
      <c r="H1042" s="1581"/>
      <c r="I1042" s="1581"/>
      <c r="J1042" s="1581"/>
      <c r="K1042" s="1581"/>
      <c r="L1042" s="1581"/>
      <c r="M1042" s="1581"/>
      <c r="N1042" s="1581"/>
      <c r="O1042" s="1581"/>
      <c r="P1042" s="1581"/>
      <c r="Q1042" s="1581"/>
      <c r="R1042" s="1581"/>
      <c r="S1042" s="1581"/>
      <c r="T1042" s="1581"/>
      <c r="U1042" s="1581"/>
      <c r="V1042" s="1581"/>
      <c r="W1042" s="1581"/>
      <c r="X1042" s="1581"/>
      <c r="Y1042" s="1581"/>
      <c r="Z1042" s="1581"/>
      <c r="AA1042" s="1581"/>
      <c r="AB1042" s="1581"/>
      <c r="AC1042" s="1581"/>
      <c r="AD1042" s="1581"/>
      <c r="AE1042" s="1581"/>
      <c r="AF1042" s="1581"/>
      <c r="AG1042" s="1581"/>
      <c r="AH1042" s="1581"/>
      <c r="AI1042" s="1581"/>
      <c r="AJ1042" s="1581"/>
      <c r="AK1042" s="1581"/>
      <c r="AM1042" s="75"/>
      <c r="AN1042" s="75"/>
      <c r="AO1042" s="75"/>
      <c r="AP1042" s="75"/>
      <c r="AQ1042" s="75"/>
      <c r="AR1042" s="75"/>
      <c r="AS1042" s="75"/>
      <c r="AT1042" s="75"/>
      <c r="AU1042" s="75"/>
      <c r="AV1042" s="75"/>
      <c r="AW1042" s="75"/>
      <c r="AX1042" s="75"/>
      <c r="AY1042" s="75"/>
      <c r="AZ1042" s="75"/>
      <c r="BA1042" s="75"/>
      <c r="BB1042" s="75"/>
      <c r="BC1042" s="75"/>
      <c r="BD1042" s="75"/>
      <c r="BE1042" s="75"/>
      <c r="BF1042" s="75"/>
      <c r="BG1042" s="75"/>
      <c r="BH1042" s="75"/>
      <c r="BI1042" s="75"/>
      <c r="BJ1042" s="75"/>
      <c r="BK1042" s="75"/>
      <c r="BL1042" s="75"/>
      <c r="BM1042" s="75"/>
      <c r="BN1042" s="75"/>
      <c r="BO1042" s="75"/>
      <c r="BP1042" s="75"/>
      <c r="BQ1042" s="75"/>
      <c r="BR1042" s="75"/>
      <c r="BS1042" s="75"/>
      <c r="BT1042" s="75"/>
      <c r="BU1042" s="75"/>
      <c r="BV1042" s="75"/>
      <c r="BW1042" s="75"/>
      <c r="BX1042" s="75"/>
      <c r="BY1042" s="75"/>
      <c r="BZ1042" s="75"/>
      <c r="CA1042" s="75"/>
      <c r="CB1042" s="75"/>
      <c r="CC1042" s="75"/>
      <c r="CD1042" s="75"/>
      <c r="CE1042" s="75"/>
      <c r="CF1042" s="75"/>
      <c r="CG1042" s="75"/>
      <c r="CH1042" s="75"/>
      <c r="CI1042" s="75"/>
      <c r="CJ1042" s="75"/>
      <c r="CK1042" s="75"/>
      <c r="CL1042" s="75"/>
      <c r="CM1042" s="75"/>
      <c r="CN1042" s="75"/>
      <c r="CO1042" s="75"/>
      <c r="CP1042" s="75"/>
      <c r="CQ1042" s="75"/>
      <c r="CR1042" s="75"/>
      <c r="CS1042" s="75"/>
    </row>
    <row r="1043" spans="1:97" ht="12.75" customHeight="1">
      <c r="A1043" s="76"/>
      <c r="B1043" s="558"/>
      <c r="C1043" s="17"/>
      <c r="D1043" s="1581"/>
      <c r="E1043" s="1581"/>
      <c r="F1043" s="1581"/>
      <c r="G1043" s="1581"/>
      <c r="H1043" s="1581"/>
      <c r="I1043" s="1581"/>
      <c r="J1043" s="1581"/>
      <c r="K1043" s="1581"/>
      <c r="L1043" s="1581"/>
      <c r="M1043" s="1581"/>
      <c r="N1043" s="1581"/>
      <c r="O1043" s="1581"/>
      <c r="P1043" s="1581"/>
      <c r="Q1043" s="1581"/>
      <c r="R1043" s="1581"/>
      <c r="S1043" s="1581"/>
      <c r="T1043" s="1581"/>
      <c r="U1043" s="1581"/>
      <c r="V1043" s="1581"/>
      <c r="W1043" s="1581"/>
      <c r="X1043" s="1581"/>
      <c r="Y1043" s="1581"/>
      <c r="Z1043" s="1581"/>
      <c r="AA1043" s="1581"/>
      <c r="AB1043" s="1581"/>
      <c r="AC1043" s="1581"/>
      <c r="AD1043" s="1581"/>
      <c r="AE1043" s="1581"/>
      <c r="AF1043" s="1581"/>
      <c r="AG1043" s="1581"/>
      <c r="AH1043" s="1581"/>
      <c r="AI1043" s="1581"/>
      <c r="AJ1043" s="1581"/>
      <c r="AK1043" s="1581"/>
      <c r="AM1043" s="75"/>
      <c r="AN1043" s="75"/>
      <c r="AO1043" s="75"/>
      <c r="AP1043" s="75"/>
      <c r="AQ1043" s="75"/>
      <c r="AR1043" s="75"/>
      <c r="AS1043" s="75"/>
      <c r="AT1043" s="75"/>
      <c r="AU1043" s="75"/>
      <c r="AV1043" s="75"/>
      <c r="AW1043" s="75"/>
      <c r="AX1043" s="75"/>
      <c r="AY1043" s="75"/>
      <c r="AZ1043" s="75"/>
      <c r="BA1043" s="75"/>
      <c r="BB1043" s="75"/>
      <c r="BC1043" s="75"/>
      <c r="BD1043" s="75"/>
      <c r="BE1043" s="75"/>
      <c r="BF1043" s="75"/>
      <c r="BG1043" s="75"/>
      <c r="BH1043" s="75"/>
      <c r="BI1043" s="75"/>
      <c r="BJ1043" s="75"/>
      <c r="BK1043" s="75"/>
      <c r="BL1043" s="75"/>
      <c r="BM1043" s="75"/>
      <c r="BN1043" s="75"/>
      <c r="BO1043" s="75"/>
      <c r="BP1043" s="75"/>
      <c r="BQ1043" s="75"/>
      <c r="BR1043" s="75"/>
      <c r="BS1043" s="75"/>
      <c r="BT1043" s="75"/>
      <c r="BU1043" s="75"/>
      <c r="BV1043" s="75"/>
      <c r="BW1043" s="75"/>
      <c r="BX1043" s="75"/>
      <c r="BY1043" s="75"/>
      <c r="BZ1043" s="75"/>
      <c r="CA1043" s="75"/>
      <c r="CB1043" s="75"/>
      <c r="CC1043" s="75"/>
      <c r="CD1043" s="75"/>
      <c r="CE1043" s="75"/>
      <c r="CF1043" s="75"/>
      <c r="CG1043" s="75"/>
      <c r="CH1043" s="75"/>
      <c r="CI1043" s="75"/>
      <c r="CJ1043" s="75"/>
      <c r="CK1043" s="75"/>
      <c r="CL1043" s="75"/>
      <c r="CM1043" s="75"/>
      <c r="CN1043" s="75"/>
      <c r="CO1043" s="75"/>
      <c r="CP1043" s="75"/>
      <c r="CQ1043" s="75"/>
      <c r="CR1043" s="75"/>
      <c r="CS1043" s="75"/>
    </row>
    <row r="1044" spans="1:97" ht="12.75" customHeight="1">
      <c r="A1044" s="76"/>
      <c r="B1044" s="80"/>
      <c r="C1044" s="17"/>
      <c r="D1044" s="1581"/>
      <c r="E1044" s="1581"/>
      <c r="F1044" s="1581"/>
      <c r="G1044" s="1581"/>
      <c r="H1044" s="1581"/>
      <c r="I1044" s="1581"/>
      <c r="J1044" s="1581"/>
      <c r="K1044" s="1581"/>
      <c r="L1044" s="1581"/>
      <c r="M1044" s="1581"/>
      <c r="N1044" s="1581"/>
      <c r="O1044" s="1581"/>
      <c r="P1044" s="1581"/>
      <c r="Q1044" s="1581"/>
      <c r="R1044" s="1581"/>
      <c r="S1044" s="1581"/>
      <c r="T1044" s="1581"/>
      <c r="U1044" s="1581"/>
      <c r="V1044" s="1581"/>
      <c r="W1044" s="1581"/>
      <c r="X1044" s="1581"/>
      <c r="Y1044" s="1581"/>
      <c r="Z1044" s="1581"/>
      <c r="AA1044" s="1581"/>
      <c r="AB1044" s="1581"/>
      <c r="AC1044" s="1581"/>
      <c r="AD1044" s="1581"/>
      <c r="AE1044" s="1581"/>
      <c r="AF1044" s="1581"/>
      <c r="AG1044" s="1581"/>
      <c r="AH1044" s="1581"/>
      <c r="AI1044" s="1581"/>
      <c r="AJ1044" s="1581"/>
      <c r="AK1044" s="1581"/>
      <c r="AM1044" s="75"/>
      <c r="AN1044" s="75"/>
      <c r="AO1044" s="75"/>
      <c r="AP1044" s="75"/>
      <c r="AQ1044" s="75"/>
      <c r="AR1044" s="75"/>
      <c r="AS1044" s="75"/>
      <c r="AT1044" s="75"/>
      <c r="AU1044" s="75"/>
      <c r="AV1044" s="75"/>
      <c r="AW1044" s="75"/>
      <c r="AX1044" s="75"/>
      <c r="AY1044" s="75"/>
      <c r="AZ1044" s="75"/>
      <c r="BA1044" s="75"/>
      <c r="BB1044" s="75"/>
      <c r="BC1044" s="75"/>
      <c r="BD1044" s="75"/>
      <c r="BE1044" s="75"/>
      <c r="BF1044" s="75"/>
      <c r="BG1044" s="75"/>
      <c r="BH1044" s="75"/>
      <c r="BI1044" s="75"/>
      <c r="BJ1044" s="75"/>
      <c r="BK1044" s="75"/>
      <c r="BL1044" s="75"/>
      <c r="BM1044" s="75"/>
      <c r="BN1044" s="75"/>
      <c r="BO1044" s="75"/>
      <c r="BP1044" s="75"/>
      <c r="BQ1044" s="75"/>
      <c r="BR1044" s="75"/>
      <c r="BS1044" s="75"/>
      <c r="BT1044" s="75"/>
      <c r="BU1044" s="75"/>
      <c r="BV1044" s="75"/>
      <c r="BW1044" s="75"/>
      <c r="BX1044" s="75"/>
      <c r="BY1044" s="75"/>
      <c r="BZ1044" s="75"/>
      <c r="CA1044" s="75"/>
      <c r="CB1044" s="75"/>
      <c r="CC1044" s="75"/>
      <c r="CD1044" s="75"/>
      <c r="CE1044" s="75"/>
      <c r="CF1044" s="75"/>
      <c r="CG1044" s="75"/>
      <c r="CH1044" s="75"/>
      <c r="CI1044" s="75"/>
      <c r="CJ1044" s="75"/>
      <c r="CK1044" s="75"/>
      <c r="CL1044" s="75"/>
      <c r="CM1044" s="75"/>
      <c r="CN1044" s="75"/>
      <c r="CO1044" s="75"/>
      <c r="CP1044" s="75"/>
      <c r="CQ1044" s="75"/>
      <c r="CR1044" s="75"/>
      <c r="CS1044" s="75"/>
    </row>
    <row r="1045" spans="1:97" ht="12.75" customHeight="1">
      <c r="A1045" s="1786" t="s">
        <v>136</v>
      </c>
      <c r="B1045" s="1786"/>
      <c r="C1045" s="559">
        <v>7</v>
      </c>
      <c r="D1045" s="1581" t="s">
        <v>1712</v>
      </c>
      <c r="E1045" s="1581"/>
      <c r="F1045" s="1581"/>
      <c r="G1045" s="1581"/>
      <c r="H1045" s="1581"/>
      <c r="I1045" s="1581"/>
      <c r="J1045" s="1581"/>
      <c r="K1045" s="1581"/>
      <c r="L1045" s="1581"/>
      <c r="M1045" s="1581"/>
      <c r="N1045" s="1581"/>
      <c r="O1045" s="1581"/>
      <c r="P1045" s="1581"/>
      <c r="Q1045" s="1581"/>
      <c r="R1045" s="1581"/>
      <c r="S1045" s="1581"/>
      <c r="T1045" s="1581"/>
      <c r="U1045" s="1581"/>
      <c r="V1045" s="1581"/>
      <c r="W1045" s="1581"/>
      <c r="X1045" s="1581"/>
      <c r="Y1045" s="1581"/>
      <c r="Z1045" s="1581"/>
      <c r="AA1045" s="1581"/>
      <c r="AB1045" s="1581"/>
      <c r="AC1045" s="1581"/>
      <c r="AD1045" s="1581"/>
      <c r="AE1045" s="1581"/>
      <c r="AF1045" s="1581"/>
      <c r="AG1045" s="1581"/>
      <c r="AH1045" s="1581"/>
      <c r="AI1045" s="1581"/>
      <c r="AJ1045" s="1581"/>
      <c r="AK1045" s="1581"/>
      <c r="AM1045" s="75"/>
      <c r="AN1045" s="75"/>
      <c r="AO1045" s="75"/>
      <c r="AP1045" s="75"/>
      <c r="AQ1045" s="75"/>
      <c r="AR1045" s="75"/>
      <c r="AS1045" s="75"/>
      <c r="AT1045" s="75"/>
      <c r="AU1045" s="75"/>
      <c r="AV1045" s="75"/>
      <c r="AW1045" s="75"/>
      <c r="AX1045" s="75"/>
      <c r="AY1045" s="75"/>
      <c r="AZ1045" s="75"/>
      <c r="BA1045" s="75"/>
      <c r="BB1045" s="75"/>
      <c r="BC1045" s="75"/>
      <c r="BD1045" s="75"/>
      <c r="BE1045" s="75"/>
      <c r="BF1045" s="75"/>
      <c r="BG1045" s="75"/>
      <c r="BH1045" s="75"/>
      <c r="BI1045" s="75"/>
      <c r="BJ1045" s="75"/>
      <c r="BK1045" s="75"/>
      <c r="BL1045" s="75"/>
      <c r="BM1045" s="75"/>
      <c r="BN1045" s="75"/>
      <c r="BO1045" s="75"/>
      <c r="BP1045" s="75"/>
      <c r="BQ1045" s="75"/>
      <c r="BR1045" s="75"/>
      <c r="BS1045" s="75"/>
      <c r="BT1045" s="75"/>
      <c r="BU1045" s="75"/>
      <c r="BV1045" s="75"/>
      <c r="BW1045" s="75"/>
      <c r="BX1045" s="75"/>
      <c r="BY1045" s="75"/>
      <c r="BZ1045" s="75"/>
      <c r="CA1045" s="75"/>
      <c r="CB1045" s="75"/>
      <c r="CC1045" s="75"/>
      <c r="CD1045" s="75"/>
      <c r="CE1045" s="75"/>
      <c r="CF1045" s="75"/>
      <c r="CG1045" s="75"/>
      <c r="CH1045" s="75"/>
      <c r="CI1045" s="75"/>
      <c r="CJ1045" s="75"/>
      <c r="CK1045" s="75"/>
      <c r="CL1045" s="75"/>
      <c r="CM1045" s="75"/>
      <c r="CN1045" s="75"/>
      <c r="CO1045" s="75"/>
      <c r="CP1045" s="75"/>
      <c r="CQ1045" s="75"/>
      <c r="CR1045" s="75"/>
      <c r="CS1045" s="75"/>
    </row>
    <row r="1046" spans="1:97" ht="12.75" customHeight="1">
      <c r="A1046" s="390"/>
      <c r="B1046" s="390"/>
      <c r="C1046" s="560"/>
      <c r="D1046" s="1581"/>
      <c r="E1046" s="1581"/>
      <c r="F1046" s="1581"/>
      <c r="G1046" s="1581"/>
      <c r="H1046" s="1581"/>
      <c r="I1046" s="1581"/>
      <c r="J1046" s="1581"/>
      <c r="K1046" s="1581"/>
      <c r="L1046" s="1581"/>
      <c r="M1046" s="1581"/>
      <c r="N1046" s="1581"/>
      <c r="O1046" s="1581"/>
      <c r="P1046" s="1581"/>
      <c r="Q1046" s="1581"/>
      <c r="R1046" s="1581"/>
      <c r="S1046" s="1581"/>
      <c r="T1046" s="1581"/>
      <c r="U1046" s="1581"/>
      <c r="V1046" s="1581"/>
      <c r="W1046" s="1581"/>
      <c r="X1046" s="1581"/>
      <c r="Y1046" s="1581"/>
      <c r="Z1046" s="1581"/>
      <c r="AA1046" s="1581"/>
      <c r="AB1046" s="1581"/>
      <c r="AC1046" s="1581"/>
      <c r="AD1046" s="1581"/>
      <c r="AE1046" s="1581"/>
      <c r="AF1046" s="1581"/>
      <c r="AG1046" s="1581"/>
      <c r="AH1046" s="1581"/>
      <c r="AI1046" s="1581"/>
      <c r="AJ1046" s="1581"/>
      <c r="AK1046" s="1581"/>
      <c r="AM1046" s="75"/>
      <c r="AN1046" s="75"/>
      <c r="AO1046" s="75"/>
      <c r="AP1046" s="75"/>
      <c r="AQ1046" s="75"/>
      <c r="AR1046" s="75"/>
      <c r="AS1046" s="75"/>
      <c r="AT1046" s="75"/>
      <c r="AU1046" s="75"/>
      <c r="AV1046" s="75"/>
      <c r="AW1046" s="75"/>
      <c r="AX1046" s="75"/>
      <c r="AY1046" s="75"/>
      <c r="AZ1046" s="75"/>
      <c r="BA1046" s="75"/>
      <c r="BB1046" s="75"/>
      <c r="BC1046" s="75"/>
      <c r="BD1046" s="75"/>
      <c r="BE1046" s="75"/>
      <c r="BF1046" s="75"/>
      <c r="BG1046" s="75"/>
      <c r="BH1046" s="75"/>
      <c r="BI1046" s="75"/>
      <c r="BJ1046" s="75"/>
      <c r="BK1046" s="75"/>
      <c r="BL1046" s="75"/>
      <c r="BM1046" s="75"/>
      <c r="BN1046" s="75"/>
      <c r="BO1046" s="75"/>
      <c r="BP1046" s="75"/>
      <c r="BQ1046" s="75"/>
      <c r="BR1046" s="75"/>
      <c r="BS1046" s="75"/>
      <c r="BT1046" s="75"/>
      <c r="BU1046" s="75"/>
      <c r="BV1046" s="75"/>
      <c r="BW1046" s="75"/>
      <c r="BX1046" s="75"/>
      <c r="BY1046" s="75"/>
      <c r="BZ1046" s="75"/>
      <c r="CA1046" s="75"/>
      <c r="CB1046" s="75"/>
      <c r="CC1046" s="75"/>
      <c r="CD1046" s="75"/>
      <c r="CE1046" s="75"/>
      <c r="CF1046" s="75"/>
      <c r="CG1046" s="75"/>
      <c r="CH1046" s="75"/>
      <c r="CI1046" s="75"/>
      <c r="CJ1046" s="75"/>
      <c r="CK1046" s="75"/>
      <c r="CL1046" s="75"/>
      <c r="CM1046" s="75"/>
      <c r="CN1046" s="75"/>
      <c r="CO1046" s="75"/>
      <c r="CP1046" s="75"/>
      <c r="CQ1046" s="75"/>
      <c r="CR1046" s="75"/>
      <c r="CS1046" s="75"/>
    </row>
    <row r="1047" spans="1:97" ht="12.75" customHeight="1">
      <c r="A1047" s="390"/>
      <c r="B1047" s="390"/>
      <c r="C1047" s="560"/>
      <c r="D1047" s="1581"/>
      <c r="E1047" s="1581"/>
      <c r="F1047" s="1581"/>
      <c r="G1047" s="1581"/>
      <c r="H1047" s="1581"/>
      <c r="I1047" s="1581"/>
      <c r="J1047" s="1581"/>
      <c r="K1047" s="1581"/>
      <c r="L1047" s="1581"/>
      <c r="M1047" s="1581"/>
      <c r="N1047" s="1581"/>
      <c r="O1047" s="1581"/>
      <c r="P1047" s="1581"/>
      <c r="Q1047" s="1581"/>
      <c r="R1047" s="1581"/>
      <c r="S1047" s="1581"/>
      <c r="T1047" s="1581"/>
      <c r="U1047" s="1581"/>
      <c r="V1047" s="1581"/>
      <c r="W1047" s="1581"/>
      <c r="X1047" s="1581"/>
      <c r="Y1047" s="1581"/>
      <c r="Z1047" s="1581"/>
      <c r="AA1047" s="1581"/>
      <c r="AB1047" s="1581"/>
      <c r="AC1047" s="1581"/>
      <c r="AD1047" s="1581"/>
      <c r="AE1047" s="1581"/>
      <c r="AF1047" s="1581"/>
      <c r="AG1047" s="1581"/>
      <c r="AH1047" s="1581"/>
      <c r="AI1047" s="1581"/>
      <c r="AJ1047" s="1581"/>
      <c r="AK1047" s="1581"/>
      <c r="AM1047" s="75"/>
      <c r="AN1047" s="75"/>
      <c r="AO1047" s="75"/>
      <c r="AP1047" s="75"/>
      <c r="AQ1047" s="75"/>
      <c r="AR1047" s="75"/>
      <c r="AS1047" s="75"/>
      <c r="AT1047" s="75"/>
      <c r="AU1047" s="75"/>
      <c r="AV1047" s="75"/>
      <c r="AW1047" s="75"/>
      <c r="AX1047" s="75"/>
      <c r="AY1047" s="75"/>
      <c r="AZ1047" s="75"/>
      <c r="BA1047" s="75"/>
      <c r="BB1047" s="75"/>
      <c r="BC1047" s="75"/>
      <c r="BD1047" s="75"/>
      <c r="BE1047" s="75"/>
      <c r="BF1047" s="75"/>
      <c r="BG1047" s="75"/>
      <c r="BH1047" s="75"/>
      <c r="BI1047" s="75"/>
      <c r="BJ1047" s="75"/>
      <c r="BK1047" s="75"/>
      <c r="BL1047" s="75"/>
      <c r="BM1047" s="75"/>
      <c r="BN1047" s="75"/>
      <c r="BO1047" s="75"/>
      <c r="BP1047" s="75"/>
      <c r="BQ1047" s="75"/>
      <c r="BR1047" s="75"/>
      <c r="BS1047" s="75"/>
      <c r="BT1047" s="75"/>
      <c r="BU1047" s="75"/>
      <c r="BV1047" s="75"/>
      <c r="BW1047" s="75"/>
      <c r="BX1047" s="75"/>
      <c r="BY1047" s="75"/>
      <c r="BZ1047" s="75"/>
      <c r="CA1047" s="75"/>
      <c r="CB1047" s="75"/>
      <c r="CC1047" s="75"/>
      <c r="CD1047" s="75"/>
      <c r="CE1047" s="75"/>
      <c r="CF1047" s="75"/>
      <c r="CG1047" s="75"/>
      <c r="CH1047" s="75"/>
      <c r="CI1047" s="75"/>
      <c r="CJ1047" s="75"/>
      <c r="CK1047" s="75"/>
      <c r="CL1047" s="75"/>
      <c r="CM1047" s="75"/>
      <c r="CN1047" s="75"/>
      <c r="CO1047" s="75"/>
      <c r="CP1047" s="75"/>
      <c r="CQ1047" s="75"/>
      <c r="CR1047" s="75"/>
      <c r="CS1047" s="75"/>
    </row>
    <row r="1048" spans="1:97" ht="12.75" customHeight="1">
      <c r="A1048" s="76"/>
      <c r="B1048" s="80"/>
      <c r="C1048" s="559"/>
      <c r="D1048" s="1581"/>
      <c r="E1048" s="1581"/>
      <c r="F1048" s="1581"/>
      <c r="G1048" s="1581"/>
      <c r="H1048" s="1581"/>
      <c r="I1048" s="1581"/>
      <c r="J1048" s="1581"/>
      <c r="K1048" s="1581"/>
      <c r="L1048" s="1581"/>
      <c r="M1048" s="1581"/>
      <c r="N1048" s="1581"/>
      <c r="O1048" s="1581"/>
      <c r="P1048" s="1581"/>
      <c r="Q1048" s="1581"/>
      <c r="R1048" s="1581"/>
      <c r="S1048" s="1581"/>
      <c r="T1048" s="1581"/>
      <c r="U1048" s="1581"/>
      <c r="V1048" s="1581"/>
      <c r="W1048" s="1581"/>
      <c r="X1048" s="1581"/>
      <c r="Y1048" s="1581"/>
      <c r="Z1048" s="1581"/>
      <c r="AA1048" s="1581"/>
      <c r="AB1048" s="1581"/>
      <c r="AC1048" s="1581"/>
      <c r="AD1048" s="1581"/>
      <c r="AE1048" s="1581"/>
      <c r="AF1048" s="1581"/>
      <c r="AG1048" s="1581"/>
      <c r="AH1048" s="1581"/>
      <c r="AI1048" s="1581"/>
      <c r="AJ1048" s="1581"/>
      <c r="AK1048" s="1581"/>
      <c r="AM1048" s="75"/>
      <c r="AN1048" s="75"/>
      <c r="AO1048" s="75"/>
      <c r="AP1048" s="75"/>
      <c r="AQ1048" s="75"/>
      <c r="AR1048" s="75"/>
      <c r="AS1048" s="75"/>
      <c r="AT1048" s="75"/>
      <c r="AU1048" s="75"/>
      <c r="AV1048" s="75"/>
      <c r="AW1048" s="75"/>
      <c r="AX1048" s="75"/>
      <c r="AY1048" s="75"/>
      <c r="AZ1048" s="75"/>
      <c r="BA1048" s="75"/>
      <c r="BB1048" s="75"/>
      <c r="BC1048" s="75"/>
      <c r="BD1048" s="75"/>
      <c r="BE1048" s="75"/>
      <c r="BF1048" s="75"/>
      <c r="BG1048" s="75"/>
      <c r="BH1048" s="75"/>
      <c r="BI1048" s="75"/>
      <c r="BJ1048" s="75"/>
      <c r="BK1048" s="75"/>
      <c r="BL1048" s="75"/>
      <c r="BM1048" s="75"/>
      <c r="BN1048" s="75"/>
      <c r="BO1048" s="75"/>
      <c r="BP1048" s="75"/>
      <c r="BQ1048" s="75"/>
      <c r="BR1048" s="75"/>
      <c r="BS1048" s="75"/>
      <c r="BT1048" s="75"/>
      <c r="BU1048" s="75"/>
      <c r="BV1048" s="75"/>
      <c r="BW1048" s="75"/>
      <c r="BX1048" s="75"/>
      <c r="BY1048" s="75"/>
      <c r="BZ1048" s="75"/>
      <c r="CA1048" s="75"/>
      <c r="CB1048" s="75"/>
      <c r="CC1048" s="75"/>
      <c r="CD1048" s="75"/>
      <c r="CE1048" s="75"/>
      <c r="CF1048" s="75"/>
      <c r="CG1048" s="75"/>
      <c r="CH1048" s="75"/>
      <c r="CI1048" s="75"/>
      <c r="CJ1048" s="75"/>
      <c r="CK1048" s="75"/>
      <c r="CL1048" s="75"/>
      <c r="CM1048" s="75"/>
      <c r="CN1048" s="75"/>
      <c r="CO1048" s="75"/>
      <c r="CP1048" s="75"/>
      <c r="CQ1048" s="75"/>
      <c r="CR1048" s="75"/>
      <c r="CS1048" s="75"/>
    </row>
    <row r="1049" spans="1:97" s="42" customFormat="1" ht="12.75" customHeight="1">
      <c r="A1049" s="1786" t="s">
        <v>136</v>
      </c>
      <c r="B1049" s="1786"/>
      <c r="C1049" s="559">
        <v>8</v>
      </c>
      <c r="D1049" s="1582" t="s">
        <v>1989</v>
      </c>
      <c r="E1049" s="1581"/>
      <c r="F1049" s="1581"/>
      <c r="G1049" s="1581"/>
      <c r="H1049" s="1581"/>
      <c r="I1049" s="1581"/>
      <c r="J1049" s="1581"/>
      <c r="K1049" s="1581"/>
      <c r="L1049" s="1581"/>
      <c r="M1049" s="1581"/>
      <c r="N1049" s="1581"/>
      <c r="O1049" s="1581"/>
      <c r="P1049" s="1581"/>
      <c r="Q1049" s="1581"/>
      <c r="R1049" s="1581"/>
      <c r="S1049" s="1581"/>
      <c r="T1049" s="1581"/>
      <c r="U1049" s="1581"/>
      <c r="V1049" s="1581"/>
      <c r="W1049" s="1581"/>
      <c r="X1049" s="1581"/>
      <c r="Y1049" s="1581"/>
      <c r="Z1049" s="1581"/>
      <c r="AA1049" s="1581"/>
      <c r="AB1049" s="1581"/>
      <c r="AC1049" s="1581"/>
      <c r="AD1049" s="1581"/>
      <c r="AE1049" s="1581"/>
      <c r="AF1049" s="1581"/>
      <c r="AG1049" s="1581"/>
      <c r="AH1049" s="1581"/>
      <c r="AI1049" s="1581"/>
      <c r="AJ1049" s="1581"/>
      <c r="AK1049" s="1581"/>
      <c r="AL1049" s="16"/>
      <c r="CE1049" s="1396"/>
    </row>
    <row r="1050" spans="1:97" ht="12.75" customHeight="1">
      <c r="A1050" s="1090"/>
      <c r="B1050" s="1090"/>
      <c r="C1050" s="559"/>
      <c r="D1050" s="1581"/>
      <c r="E1050" s="1581"/>
      <c r="F1050" s="1581"/>
      <c r="G1050" s="1581"/>
      <c r="H1050" s="1581"/>
      <c r="I1050" s="1581"/>
      <c r="J1050" s="1581"/>
      <c r="K1050" s="1581"/>
      <c r="L1050" s="1581"/>
      <c r="M1050" s="1581"/>
      <c r="N1050" s="1581"/>
      <c r="O1050" s="1581"/>
      <c r="P1050" s="1581"/>
      <c r="Q1050" s="1581"/>
      <c r="R1050" s="1581"/>
      <c r="S1050" s="1581"/>
      <c r="T1050" s="1581"/>
      <c r="U1050" s="1581"/>
      <c r="V1050" s="1581"/>
      <c r="W1050" s="1581"/>
      <c r="X1050" s="1581"/>
      <c r="Y1050" s="1581"/>
      <c r="Z1050" s="1581"/>
      <c r="AA1050" s="1581"/>
      <c r="AB1050" s="1581"/>
      <c r="AC1050" s="1581"/>
      <c r="AD1050" s="1581"/>
      <c r="AE1050" s="1581"/>
      <c r="AF1050" s="1581"/>
      <c r="AG1050" s="1581"/>
      <c r="AH1050" s="1581"/>
      <c r="AI1050" s="1581"/>
      <c r="AJ1050" s="1581"/>
      <c r="AK1050" s="1581"/>
    </row>
    <row r="1051" spans="1:97" ht="12.75" customHeight="1">
      <c r="A1051" s="390"/>
      <c r="B1051" s="390"/>
      <c r="C1051" s="559"/>
      <c r="D1051" s="1581"/>
      <c r="E1051" s="1581"/>
      <c r="F1051" s="1581"/>
      <c r="G1051" s="1581"/>
      <c r="H1051" s="1581"/>
      <c r="I1051" s="1581"/>
      <c r="J1051" s="1581"/>
      <c r="K1051" s="1581"/>
      <c r="L1051" s="1581"/>
      <c r="M1051" s="1581"/>
      <c r="N1051" s="1581"/>
      <c r="O1051" s="1581"/>
      <c r="P1051" s="1581"/>
      <c r="Q1051" s="1581"/>
      <c r="R1051" s="1581"/>
      <c r="S1051" s="1581"/>
      <c r="T1051" s="1581"/>
      <c r="U1051" s="1581"/>
      <c r="V1051" s="1581"/>
      <c r="W1051" s="1581"/>
      <c r="X1051" s="1581"/>
      <c r="Y1051" s="1581"/>
      <c r="Z1051" s="1581"/>
      <c r="AA1051" s="1581"/>
      <c r="AB1051" s="1581"/>
      <c r="AC1051" s="1581"/>
      <c r="AD1051" s="1581"/>
      <c r="AE1051" s="1581"/>
      <c r="AF1051" s="1581"/>
      <c r="AG1051" s="1581"/>
      <c r="AH1051" s="1581"/>
      <c r="AI1051" s="1581"/>
      <c r="AJ1051" s="1581"/>
      <c r="AK1051" s="1581"/>
    </row>
    <row r="1052" spans="1:97" ht="12.75" customHeight="1">
      <c r="A1052" s="76"/>
      <c r="B1052" s="80"/>
      <c r="C1052" s="559"/>
      <c r="D1052" s="1581"/>
      <c r="E1052" s="1581"/>
      <c r="F1052" s="1581"/>
      <c r="G1052" s="1581"/>
      <c r="H1052" s="1581"/>
      <c r="I1052" s="1581"/>
      <c r="J1052" s="1581"/>
      <c r="K1052" s="1581"/>
      <c r="L1052" s="1581"/>
      <c r="M1052" s="1581"/>
      <c r="N1052" s="1581"/>
      <c r="O1052" s="1581"/>
      <c r="P1052" s="1581"/>
      <c r="Q1052" s="1581"/>
      <c r="R1052" s="1581"/>
      <c r="S1052" s="1581"/>
      <c r="T1052" s="1581"/>
      <c r="U1052" s="1581"/>
      <c r="V1052" s="1581"/>
      <c r="W1052" s="1581"/>
      <c r="X1052" s="1581"/>
      <c r="Y1052" s="1581"/>
      <c r="Z1052" s="1581"/>
      <c r="AA1052" s="1581"/>
      <c r="AB1052" s="1581"/>
      <c r="AC1052" s="1581"/>
      <c r="AD1052" s="1581"/>
      <c r="AE1052" s="1581"/>
      <c r="AF1052" s="1581"/>
      <c r="AG1052" s="1581"/>
      <c r="AH1052" s="1581"/>
      <c r="AI1052" s="1581"/>
      <c r="AJ1052" s="1581"/>
      <c r="AK1052" s="1581"/>
    </row>
    <row r="1053" spans="1:97" ht="12.75" customHeight="1">
      <c r="A1053" s="1786" t="s">
        <v>136</v>
      </c>
      <c r="B1053" s="1786"/>
      <c r="C1053" s="559">
        <v>9</v>
      </c>
      <c r="D1053" s="1581" t="s">
        <v>1711</v>
      </c>
      <c r="E1053" s="1581"/>
      <c r="F1053" s="1581"/>
      <c r="G1053" s="1581"/>
      <c r="H1053" s="1581"/>
      <c r="I1053" s="1581"/>
      <c r="J1053" s="1581"/>
      <c r="K1053" s="1581"/>
      <c r="L1053" s="1581"/>
      <c r="M1053" s="1581"/>
      <c r="N1053" s="1581"/>
      <c r="O1053" s="1581"/>
      <c r="P1053" s="1581"/>
      <c r="Q1053" s="1581"/>
      <c r="R1053" s="1581"/>
      <c r="S1053" s="1581"/>
      <c r="T1053" s="1581"/>
      <c r="U1053" s="1581"/>
      <c r="V1053" s="1581"/>
      <c r="W1053" s="1581"/>
      <c r="X1053" s="1581"/>
      <c r="Y1053" s="1581"/>
      <c r="Z1053" s="1581"/>
      <c r="AA1053" s="1581"/>
      <c r="AB1053" s="1581"/>
      <c r="AC1053" s="1581"/>
      <c r="AD1053" s="1581"/>
      <c r="AE1053" s="1581"/>
      <c r="AF1053" s="1581"/>
      <c r="AG1053" s="1581"/>
      <c r="AH1053" s="1581"/>
      <c r="AI1053" s="1581"/>
      <c r="AJ1053" s="1581"/>
      <c r="AK1053" s="1581"/>
    </row>
    <row r="1054" spans="1:97" ht="12.75" hidden="1" customHeight="1">
      <c r="A1054" s="76"/>
      <c r="B1054" s="80"/>
      <c r="C1054" s="559"/>
      <c r="D1054" s="1581"/>
      <c r="E1054" s="1581"/>
      <c r="F1054" s="1581"/>
      <c r="G1054" s="1581"/>
      <c r="H1054" s="1581"/>
      <c r="I1054" s="1581"/>
      <c r="J1054" s="1581"/>
      <c r="K1054" s="1581"/>
      <c r="L1054" s="1581"/>
      <c r="M1054" s="1581"/>
      <c r="N1054" s="1581"/>
      <c r="O1054" s="1581"/>
      <c r="P1054" s="1581"/>
      <c r="Q1054" s="1581"/>
      <c r="R1054" s="1581"/>
      <c r="S1054" s="1581"/>
      <c r="T1054" s="1581"/>
      <c r="U1054" s="1581"/>
      <c r="V1054" s="1581"/>
      <c r="W1054" s="1581"/>
      <c r="X1054" s="1581"/>
      <c r="Y1054" s="1581"/>
      <c r="Z1054" s="1581"/>
      <c r="AA1054" s="1581"/>
      <c r="AB1054" s="1581"/>
      <c r="AC1054" s="1581"/>
      <c r="AD1054" s="1581"/>
      <c r="AE1054" s="1581"/>
      <c r="AF1054" s="1581"/>
      <c r="AG1054" s="1581"/>
      <c r="AH1054" s="1581"/>
      <c r="AI1054" s="1581"/>
      <c r="AJ1054" s="1581"/>
      <c r="AK1054" s="1581"/>
    </row>
    <row r="1055" spans="1:97" ht="12.75" hidden="1" customHeight="1">
      <c r="D1055" s="1581"/>
      <c r="E1055" s="1581"/>
      <c r="F1055" s="1581"/>
      <c r="G1055" s="1581"/>
      <c r="H1055" s="1581"/>
      <c r="I1055" s="1581"/>
      <c r="J1055" s="1581"/>
      <c r="K1055" s="1581"/>
      <c r="L1055" s="1581"/>
      <c r="M1055" s="1581"/>
      <c r="N1055" s="1581"/>
      <c r="O1055" s="1581"/>
      <c r="P1055" s="1581"/>
      <c r="Q1055" s="1581"/>
      <c r="R1055" s="1581"/>
      <c r="S1055" s="1581"/>
      <c r="T1055" s="1581"/>
      <c r="U1055" s="1581"/>
      <c r="V1055" s="1581"/>
      <c r="W1055" s="1581"/>
      <c r="X1055" s="1581"/>
      <c r="Y1055" s="1581"/>
      <c r="Z1055" s="1581"/>
      <c r="AA1055" s="1581"/>
      <c r="AB1055" s="1581"/>
      <c r="AC1055" s="1581"/>
      <c r="AD1055" s="1581"/>
      <c r="AE1055" s="1581"/>
      <c r="AF1055" s="1581"/>
      <c r="AG1055" s="1581"/>
      <c r="AH1055" s="1581"/>
      <c r="AI1055" s="1581"/>
      <c r="AJ1055" s="1581"/>
      <c r="AK1055" s="1581"/>
    </row>
    <row r="1056" spans="1:97" ht="12.75" hidden="1" customHeight="1">
      <c r="A1056" s="94"/>
      <c r="B1056" s="94"/>
      <c r="C1056" s="94"/>
      <c r="D1056" s="94"/>
      <c r="E1056" s="94"/>
      <c r="F1056" s="94"/>
      <c r="G1056" s="94"/>
      <c r="H1056" s="94"/>
      <c r="I1056" s="94"/>
      <c r="J1056" s="94"/>
      <c r="K1056" s="94"/>
      <c r="L1056" s="94"/>
      <c r="M1056" s="94"/>
      <c r="N1056" s="94"/>
      <c r="O1056" s="94"/>
      <c r="P1056" s="94"/>
      <c r="Q1056" s="94"/>
      <c r="R1056" s="94"/>
      <c r="S1056" s="94"/>
      <c r="T1056" s="94"/>
      <c r="U1056" s="94"/>
      <c r="V1056" s="94"/>
      <c r="W1056" s="94"/>
      <c r="X1056" s="94"/>
      <c r="Y1056" s="94"/>
      <c r="Z1056" s="94"/>
      <c r="AA1056" s="94"/>
      <c r="AB1056" s="94"/>
      <c r="AC1056" s="94"/>
      <c r="AD1056" s="94"/>
      <c r="AE1056" s="94"/>
      <c r="AF1056" s="94"/>
      <c r="AG1056" s="94"/>
      <c r="AH1056" s="94"/>
      <c r="AI1056" s="94"/>
      <c r="AJ1056" s="94"/>
      <c r="AK1056" s="94"/>
      <c r="AL1056" s="94"/>
    </row>
    <row r="1057" ht="12.75" hidden="1" customHeight="1"/>
    <row r="1058" ht="12.75" hidden="1" customHeight="1"/>
    <row r="1059" ht="12.75" hidden="1" customHeight="1"/>
    <row r="1060" ht="12.75" hidden="1" customHeight="1"/>
    <row r="1061" ht="12.75" hidden="1" customHeight="1"/>
    <row r="1062" ht="12.75" hidden="1" customHeight="1"/>
    <row r="1063" ht="12.75" hidden="1" customHeight="1"/>
    <row r="1064" ht="12.75" hidden="1" customHeight="1"/>
    <row r="1065" ht="12.75" hidden="1" customHeight="1"/>
    <row r="1066" ht="12.75" hidden="1" customHeight="1"/>
    <row r="1067" ht="12.75" hidden="1" customHeight="1"/>
    <row r="1068" ht="12.75" hidden="1" customHeight="1"/>
    <row r="1069" ht="12.75" hidden="1" customHeight="1"/>
    <row r="1070" ht="12.75" hidden="1" customHeight="1"/>
    <row r="1071" ht="12.75" hidden="1" customHeight="1"/>
    <row r="1072" ht="12.75" hidden="1" customHeight="1"/>
    <row r="1073" ht="12.75" hidden="1" customHeight="1"/>
    <row r="1074" ht="12.75" hidden="1" customHeight="1"/>
    <row r="1075" ht="12.75" hidden="1" customHeight="1"/>
    <row r="1076" ht="12.75" hidden="1" customHeight="1"/>
    <row r="1077" ht="12.75" hidden="1" customHeight="1"/>
    <row r="1078" ht="12.75" hidden="1" customHeight="1"/>
    <row r="1079" ht="12.75" hidden="1" customHeight="1"/>
    <row r="1080" ht="12.75" hidden="1" customHeight="1"/>
    <row r="1081" ht="12.75" hidden="1" customHeight="1"/>
    <row r="1082" ht="12.75" hidden="1" customHeight="1"/>
    <row r="1083" ht="12.75" hidden="1" customHeight="1"/>
    <row r="1084" ht="12.75" hidden="1" customHeight="1"/>
    <row r="1085" ht="12.75" hidden="1" customHeight="1"/>
    <row r="1086" ht="12.75" hidden="1" customHeight="1"/>
    <row r="1087" ht="12.75" hidden="1" customHeight="1"/>
    <row r="1088" ht="12.75" hidden="1" customHeight="1"/>
  </sheetData>
  <sheetProtection algorithmName="SHA-512" hashValue="jCk4kwo6b/EF3XUO3+zOMh7xNSfX2vjZGUSQPXoHjLM3CL2AOmEMM76sHAD+oW4JXFuF79oo3MfW7yk0t1GGTQ==" saltValue="otMfIUNo2Pjm8qTwOeygqA=="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7" right="0.7" top="0.75" bottom="0.75" header="0.3" footer="0.3"/>
      <printOptions horizontalCentered="1"/>
      <pageSetup scale="83" fitToHeight="23" orientation="portrait" useFirstPageNumber="1"/>
      <headerFooter alignWithMargins="0">
        <oddFooter>&amp;L&amp;8April 18, 2016 Version&amp;C&amp;P&amp;R&amp;8&amp;A &amp;D</oddFooter>
      </headerFooter>
    </customSheetView>
  </customSheetViews>
  <mergeCells count="2156">
    <mergeCell ref="AM564:AS564"/>
    <mergeCell ref="AI564:AL564"/>
    <mergeCell ref="AE564:AH564"/>
    <mergeCell ref="Z564:AD564"/>
    <mergeCell ref="W564:Y564"/>
    <mergeCell ref="T564:V564"/>
    <mergeCell ref="Q564:S564"/>
    <mergeCell ref="C564:P564"/>
    <mergeCell ref="B717:F717"/>
    <mergeCell ref="B713:F713"/>
    <mergeCell ref="AA193:AC193"/>
    <mergeCell ref="D446:AJ446"/>
    <mergeCell ref="O162:T162"/>
    <mergeCell ref="H310:M310"/>
    <mergeCell ref="L281:AD281"/>
    <mergeCell ref="AA259:AK259"/>
    <mergeCell ref="L279:AD279"/>
    <mergeCell ref="X272:AC272"/>
    <mergeCell ref="H289:R289"/>
    <mergeCell ref="U265:W265"/>
    <mergeCell ref="A284:AL285"/>
    <mergeCell ref="L280:Q280"/>
    <mergeCell ref="M266:AE266"/>
    <mergeCell ref="T197:U197"/>
    <mergeCell ref="I403:AD403"/>
    <mergeCell ref="AI608:AK608"/>
    <mergeCell ref="AA617:AK617"/>
    <mergeCell ref="I184:AE184"/>
    <mergeCell ref="T193:U193"/>
    <mergeCell ref="M253:AE253"/>
    <mergeCell ref="AF253:AK253"/>
    <mergeCell ref="U249:W249"/>
    <mergeCell ref="M249:R249"/>
    <mergeCell ref="AA251:AK251"/>
    <mergeCell ref="AA318:AF318"/>
    <mergeCell ref="M264:AE264"/>
    <mergeCell ref="AA289:AK289"/>
    <mergeCell ref="H292:R292"/>
    <mergeCell ref="W255:X255"/>
    <mergeCell ref="AF261:AK261"/>
    <mergeCell ref="A1053:B1053"/>
    <mergeCell ref="A1049:B1049"/>
    <mergeCell ref="A1016:B1016"/>
    <mergeCell ref="D1006:AK1008"/>
    <mergeCell ref="A1045:B1045"/>
    <mergeCell ref="A1012:AK1012"/>
    <mergeCell ref="M850:V850"/>
    <mergeCell ref="W850:AC850"/>
    <mergeCell ref="A939:AL940"/>
    <mergeCell ref="A1022:B1022"/>
    <mergeCell ref="A1037:B1037"/>
    <mergeCell ref="M935:S935"/>
    <mergeCell ref="AA929:AG929"/>
    <mergeCell ref="Z877:AE877"/>
    <mergeCell ref="Z785:AE785"/>
    <mergeCell ref="Y776:AC776"/>
    <mergeCell ref="P792:Y792"/>
    <mergeCell ref="O934:P934"/>
    <mergeCell ref="AA935:AG935"/>
    <mergeCell ref="W851:AC851"/>
    <mergeCell ref="M853:V853"/>
    <mergeCell ref="AA910:AF910"/>
    <mergeCell ref="T933:Z933"/>
    <mergeCell ref="U895:Z895"/>
    <mergeCell ref="W854:AC854"/>
    <mergeCell ref="T834:V834"/>
    <mergeCell ref="T836:V836"/>
    <mergeCell ref="AC866:AH866"/>
    <mergeCell ref="AC867:AH867"/>
    <mergeCell ref="Z876:AE876"/>
    <mergeCell ref="W847:AC847"/>
    <mergeCell ref="AC807:AF807"/>
    <mergeCell ref="BK611:BL611"/>
    <mergeCell ref="BN624:BR624"/>
    <mergeCell ref="BK607:BL607"/>
    <mergeCell ref="BI607:BJ607"/>
    <mergeCell ref="BK609:BL609"/>
    <mergeCell ref="BI608:BJ608"/>
    <mergeCell ref="BI610:BJ610"/>
    <mergeCell ref="AG384:AJ384"/>
    <mergeCell ref="BG608:BH608"/>
    <mergeCell ref="BO817:BU817"/>
    <mergeCell ref="BA817:BB817"/>
    <mergeCell ref="Y805:AB805"/>
    <mergeCell ref="J825:V825"/>
    <mergeCell ref="Y808:AB808"/>
    <mergeCell ref="AC805:AF805"/>
    <mergeCell ref="M847:V847"/>
    <mergeCell ref="Q808:T808"/>
    <mergeCell ref="Q801:T801"/>
    <mergeCell ref="M801:P801"/>
    <mergeCell ref="W842:AC842"/>
    <mergeCell ref="W843:AC843"/>
    <mergeCell ref="AC859:AH859"/>
    <mergeCell ref="W853:AC853"/>
    <mergeCell ref="AC864:AH864"/>
    <mergeCell ref="H293:M293"/>
    <mergeCell ref="P317:R317"/>
    <mergeCell ref="N357:O357"/>
    <mergeCell ref="A1034:B1034"/>
    <mergeCell ref="A1042:B1042"/>
    <mergeCell ref="A1028:B1028"/>
    <mergeCell ref="D1042:AK1044"/>
    <mergeCell ref="Y280:AD280"/>
    <mergeCell ref="M851:V851"/>
    <mergeCell ref="W822:AC822"/>
    <mergeCell ref="W831:AC831"/>
    <mergeCell ref="W830:AC830"/>
    <mergeCell ref="M932:S932"/>
    <mergeCell ref="T932:Z932"/>
    <mergeCell ref="M933:S933"/>
    <mergeCell ref="M929:S929"/>
    <mergeCell ref="L921:S921"/>
    <mergeCell ref="M928:S928"/>
    <mergeCell ref="AA933:AG933"/>
    <mergeCell ref="W934:AG934"/>
    <mergeCell ref="O764:S764"/>
    <mergeCell ref="J765:N765"/>
    <mergeCell ref="O765:S765"/>
    <mergeCell ref="U804:X804"/>
    <mergeCell ref="Y806:AB806"/>
    <mergeCell ref="Y804:AB804"/>
    <mergeCell ref="C806:H806"/>
    <mergeCell ref="M804:P804"/>
    <mergeCell ref="AG806:AJ806"/>
    <mergeCell ref="Q806:T806"/>
    <mergeCell ref="U805:X805"/>
    <mergeCell ref="AG805:AJ805"/>
    <mergeCell ref="M262:AE262"/>
    <mergeCell ref="AA293:AF293"/>
    <mergeCell ref="H322:R322"/>
    <mergeCell ref="H324:R324"/>
    <mergeCell ref="AA298:AK298"/>
    <mergeCell ref="P293:R293"/>
    <mergeCell ref="H317:M317"/>
    <mergeCell ref="O773:S773"/>
    <mergeCell ref="B709:F709"/>
    <mergeCell ref="B716:F716"/>
    <mergeCell ref="B710:F710"/>
    <mergeCell ref="C805:H805"/>
    <mergeCell ref="Q807:T807"/>
    <mergeCell ref="AC804:AF804"/>
    <mergeCell ref="AC803:AF803"/>
    <mergeCell ref="J772:N772"/>
    <mergeCell ref="O772:S772"/>
    <mergeCell ref="G713:J713"/>
    <mergeCell ref="G712:J712"/>
    <mergeCell ref="G709:J709"/>
    <mergeCell ref="G716:J716"/>
    <mergeCell ref="J764:N764"/>
    <mergeCell ref="G719:J719"/>
    <mergeCell ref="M265:R265"/>
    <mergeCell ref="AA691:AK691"/>
    <mergeCell ref="AA683:AK683"/>
    <mergeCell ref="AA309:AF309"/>
    <mergeCell ref="AA302:AF302"/>
    <mergeCell ref="AI309:AK309"/>
    <mergeCell ref="AA308:AK308"/>
    <mergeCell ref="H318:M318"/>
    <mergeCell ref="H305:R305"/>
    <mergeCell ref="V278:W278"/>
    <mergeCell ref="H307:R307"/>
    <mergeCell ref="H321:R321"/>
    <mergeCell ref="J773:N773"/>
    <mergeCell ref="AC799:AF800"/>
    <mergeCell ref="G690:L690"/>
    <mergeCell ref="AC255:AE255"/>
    <mergeCell ref="M256:AE256"/>
    <mergeCell ref="AA294:AF294"/>
    <mergeCell ref="AA310:AF310"/>
    <mergeCell ref="L276:AJ276"/>
    <mergeCell ref="U257:W257"/>
    <mergeCell ref="Z613:AK613"/>
    <mergeCell ref="G720:J720"/>
    <mergeCell ref="G721:J721"/>
    <mergeCell ref="G722:J722"/>
    <mergeCell ref="Z690:AE690"/>
    <mergeCell ref="J774:N774"/>
    <mergeCell ref="O774:S774"/>
    <mergeCell ref="M267:T267"/>
    <mergeCell ref="M261:AE261"/>
    <mergeCell ref="AA316:AK316"/>
    <mergeCell ref="T269:X269"/>
    <mergeCell ref="AC263:AE263"/>
    <mergeCell ref="M258:AE258"/>
    <mergeCell ref="M352:N352"/>
    <mergeCell ref="AA337:AK337"/>
    <mergeCell ref="M350:N350"/>
    <mergeCell ref="H331:R331"/>
    <mergeCell ref="U799:X800"/>
    <mergeCell ref="Y777:AC777"/>
    <mergeCell ref="G663:R663"/>
    <mergeCell ref="AY928:AZ928"/>
    <mergeCell ref="AY922:AZ922"/>
    <mergeCell ref="AY923:AZ923"/>
    <mergeCell ref="AA898:AF898"/>
    <mergeCell ref="AA907:AF907"/>
    <mergeCell ref="AE916:AK916"/>
    <mergeCell ref="W844:AC844"/>
    <mergeCell ref="W841:AC841"/>
    <mergeCell ref="AC808:AF808"/>
    <mergeCell ref="W838:AC838"/>
    <mergeCell ref="W825:AC825"/>
    <mergeCell ref="W827:AC827"/>
    <mergeCell ref="W833:AC833"/>
    <mergeCell ref="W819:AC819"/>
    <mergeCell ref="W829:AC829"/>
    <mergeCell ref="U908:Z908"/>
    <mergeCell ref="U903:Z903"/>
    <mergeCell ref="AA909:AF909"/>
    <mergeCell ref="U899:Z899"/>
    <mergeCell ref="U898:Z898"/>
    <mergeCell ref="U894:Z894"/>
    <mergeCell ref="AA894:AF894"/>
    <mergeCell ref="U897:Z897"/>
    <mergeCell ref="U900:Z900"/>
    <mergeCell ref="AA900:AF900"/>
    <mergeCell ref="AE921:AK921"/>
    <mergeCell ref="AY917:AZ917"/>
    <mergeCell ref="AV873:AY873"/>
    <mergeCell ref="U889:Z891"/>
    <mergeCell ref="AP873:AS873"/>
    <mergeCell ref="E861:AB861"/>
    <mergeCell ref="W846:AC846"/>
    <mergeCell ref="L918:S918"/>
    <mergeCell ref="U904:Z904"/>
    <mergeCell ref="U896:Z896"/>
    <mergeCell ref="AA290:AK290"/>
    <mergeCell ref="H295:R295"/>
    <mergeCell ref="AI293:AK293"/>
    <mergeCell ref="H315:R315"/>
    <mergeCell ref="H316:R316"/>
    <mergeCell ref="H308:R308"/>
    <mergeCell ref="AA299:AK299"/>
    <mergeCell ref="H299:R299"/>
    <mergeCell ref="H303:R303"/>
    <mergeCell ref="P309:R309"/>
    <mergeCell ref="H309:M309"/>
    <mergeCell ref="AA303:AK303"/>
    <mergeCell ref="AA306:AK306"/>
    <mergeCell ref="AA313:AK313"/>
    <mergeCell ref="H311:R311"/>
    <mergeCell ref="AI325:AK325"/>
    <mergeCell ref="AJ349:AK349"/>
    <mergeCell ref="H337:R337"/>
    <mergeCell ref="H332:R332"/>
    <mergeCell ref="H340:R340"/>
    <mergeCell ref="H342:M342"/>
    <mergeCell ref="AA331:AK331"/>
    <mergeCell ref="AJ351:AK351"/>
    <mergeCell ref="Y358:Z358"/>
    <mergeCell ref="AI333:AK333"/>
    <mergeCell ref="AI341:AK341"/>
    <mergeCell ref="AA342:AF342"/>
    <mergeCell ref="AJ350:AK350"/>
    <mergeCell ref="AA341:AF341"/>
    <mergeCell ref="M248:AE248"/>
    <mergeCell ref="Z249:AE249"/>
    <mergeCell ref="H306:R306"/>
    <mergeCell ref="M254:AE254"/>
    <mergeCell ref="M263:T263"/>
    <mergeCell ref="AA307:AK307"/>
    <mergeCell ref="AA300:AK300"/>
    <mergeCell ref="H297:R297"/>
    <mergeCell ref="H294:M294"/>
    <mergeCell ref="H302:M302"/>
    <mergeCell ref="D272:H272"/>
    <mergeCell ref="T280:V280"/>
    <mergeCell ref="H298:R298"/>
    <mergeCell ref="H300:R300"/>
    <mergeCell ref="H313:R313"/>
    <mergeCell ref="AA314:AK314"/>
    <mergeCell ref="O33:P33"/>
    <mergeCell ref="O159:AH159"/>
    <mergeCell ref="O158:AH158"/>
    <mergeCell ref="O157:AH157"/>
    <mergeCell ref="Z265:AE265"/>
    <mergeCell ref="M251:T251"/>
    <mergeCell ref="D208:M208"/>
    <mergeCell ref="M245:AE245"/>
    <mergeCell ref="W247:X247"/>
    <mergeCell ref="M237:T237"/>
    <mergeCell ref="O226:P226"/>
    <mergeCell ref="O227:P227"/>
    <mergeCell ref="U239:W239"/>
    <mergeCell ref="M257:R257"/>
    <mergeCell ref="D223:AI223"/>
    <mergeCell ref="T194:U194"/>
    <mergeCell ref="J173:S173"/>
    <mergeCell ref="U174:V174"/>
    <mergeCell ref="U175:V175"/>
    <mergeCell ref="U176:V176"/>
    <mergeCell ref="I190:N190"/>
    <mergeCell ref="T190:AE190"/>
    <mergeCell ref="Y211:Z211"/>
    <mergeCell ref="A169:AL170"/>
    <mergeCell ref="A231:AL232"/>
    <mergeCell ref="L128:N128"/>
    <mergeCell ref="X175:Y175"/>
    <mergeCell ref="T195:U195"/>
    <mergeCell ref="Z257:AE257"/>
    <mergeCell ref="D167:Y167"/>
    <mergeCell ref="W237:X237"/>
    <mergeCell ref="M242:AE242"/>
    <mergeCell ref="AA241:AK241"/>
    <mergeCell ref="T189:AE189"/>
    <mergeCell ref="I189:P189"/>
    <mergeCell ref="E217:Z217"/>
    <mergeCell ref="T196:U196"/>
    <mergeCell ref="D211:P211"/>
    <mergeCell ref="D214:Z214"/>
    <mergeCell ref="AI194:AJ194"/>
    <mergeCell ref="N191:AE192"/>
    <mergeCell ref="O164:AH164"/>
    <mergeCell ref="O161:R161"/>
    <mergeCell ref="O156:AH156"/>
    <mergeCell ref="W162:X162"/>
    <mergeCell ref="O160:X160"/>
    <mergeCell ref="O163:T163"/>
    <mergeCell ref="M250:AE250"/>
    <mergeCell ref="Y180:Z180"/>
    <mergeCell ref="W198:X198"/>
    <mergeCell ref="AC219:AM219"/>
    <mergeCell ref="J360:K360"/>
    <mergeCell ref="AA329:AK329"/>
    <mergeCell ref="AA325:AF325"/>
    <mergeCell ref="AA321:AK321"/>
    <mergeCell ref="H327:R327"/>
    <mergeCell ref="H325:M325"/>
    <mergeCell ref="AA326:AF326"/>
    <mergeCell ref="H323:R323"/>
    <mergeCell ref="P325:R325"/>
    <mergeCell ref="AA323:AK323"/>
    <mergeCell ref="H326:M326"/>
    <mergeCell ref="M247:T247"/>
    <mergeCell ref="Z239:AE239"/>
    <mergeCell ref="M255:T255"/>
    <mergeCell ref="AA305:AK305"/>
    <mergeCell ref="AA311:AK311"/>
    <mergeCell ref="P301:R301"/>
    <mergeCell ref="AI301:AK301"/>
    <mergeCell ref="L277:AD277"/>
    <mergeCell ref="L278:S278"/>
    <mergeCell ref="AA295:AK295"/>
    <mergeCell ref="AA267:AK267"/>
    <mergeCell ref="H290:R290"/>
    <mergeCell ref="AA317:AF317"/>
    <mergeCell ref="H314:R314"/>
    <mergeCell ref="AI317:AK317"/>
    <mergeCell ref="AA315:AK315"/>
    <mergeCell ref="W263:X263"/>
    <mergeCell ref="M259:T259"/>
    <mergeCell ref="F935:L935"/>
    <mergeCell ref="AA330:AK330"/>
    <mergeCell ref="H339:R339"/>
    <mergeCell ref="H617:R617"/>
    <mergeCell ref="H585:R585"/>
    <mergeCell ref="AA593:AK593"/>
    <mergeCell ref="D443:AF443"/>
    <mergeCell ref="W411:Y411"/>
    <mergeCell ref="AD370:AE370"/>
    <mergeCell ref="S370:T370"/>
    <mergeCell ref="AC363:AF363"/>
    <mergeCell ref="Q384:U384"/>
    <mergeCell ref="N366:AF367"/>
    <mergeCell ref="AC378:AJ378"/>
    <mergeCell ref="AE922:AK922"/>
    <mergeCell ref="AA927:AG927"/>
    <mergeCell ref="I910:T910"/>
    <mergeCell ref="N365:Q365"/>
    <mergeCell ref="D461:V461"/>
    <mergeCell ref="L919:S919"/>
    <mergeCell ref="AA908:AF908"/>
    <mergeCell ref="N363:Q363"/>
    <mergeCell ref="V374:W374"/>
    <mergeCell ref="N371:P371"/>
    <mergeCell ref="AG373:AH373"/>
    <mergeCell ref="I907:T907"/>
    <mergeCell ref="AE919:AK919"/>
    <mergeCell ref="AE918:AK918"/>
    <mergeCell ref="AE915:AK915"/>
    <mergeCell ref="L915:S915"/>
    <mergeCell ref="U907:Z907"/>
    <mergeCell ref="U906:Z906"/>
    <mergeCell ref="AT1018:AY1018"/>
    <mergeCell ref="X1005:AC1005"/>
    <mergeCell ref="B1011:AK1011"/>
    <mergeCell ref="B1009:AK1010"/>
    <mergeCell ref="AY918:AZ918"/>
    <mergeCell ref="AY925:AZ925"/>
    <mergeCell ref="AY920:AZ920"/>
    <mergeCell ref="X1004:AC1004"/>
    <mergeCell ref="U909:Z909"/>
    <mergeCell ref="L917:S917"/>
    <mergeCell ref="L916:S916"/>
    <mergeCell ref="U910:Z910"/>
    <mergeCell ref="L920:S920"/>
    <mergeCell ref="M927:S927"/>
    <mergeCell ref="M931:S931"/>
    <mergeCell ref="AA930:AG930"/>
    <mergeCell ref="M930:S930"/>
    <mergeCell ref="AA928:AG928"/>
    <mergeCell ref="AY921:AZ921"/>
    <mergeCell ref="AE917:AK917"/>
    <mergeCell ref="AA932:AG932"/>
    <mergeCell ref="AA931:AG931"/>
    <mergeCell ref="AE920:AK920"/>
    <mergeCell ref="L922:S922"/>
    <mergeCell ref="AY926:AZ926"/>
    <mergeCell ref="AY924:BA924"/>
    <mergeCell ref="BA928:BB928"/>
    <mergeCell ref="AY919:AZ919"/>
    <mergeCell ref="I909:T909"/>
    <mergeCell ref="D957:AE961"/>
    <mergeCell ref="D945:Q945"/>
    <mergeCell ref="R945:AA945"/>
    <mergeCell ref="C802:H802"/>
    <mergeCell ref="M802:P802"/>
    <mergeCell ref="Q802:T802"/>
    <mergeCell ref="U802:X802"/>
    <mergeCell ref="AC802:AF802"/>
    <mergeCell ref="Y802:AB802"/>
    <mergeCell ref="AA906:AF906"/>
    <mergeCell ref="I908:T908"/>
    <mergeCell ref="U902:Z902"/>
    <mergeCell ref="AA902:AF902"/>
    <mergeCell ref="AA905:AF905"/>
    <mergeCell ref="AA901:AF901"/>
    <mergeCell ref="AA904:AF904"/>
    <mergeCell ref="U901:Z901"/>
    <mergeCell ref="AC865:AH865"/>
    <mergeCell ref="AT880:AY880"/>
    <mergeCell ref="AC869:AH869"/>
    <mergeCell ref="U808:X808"/>
    <mergeCell ref="AG804:AJ804"/>
    <mergeCell ref="M807:P807"/>
    <mergeCell ref="U905:Z905"/>
    <mergeCell ref="AA903:AF903"/>
    <mergeCell ref="AN872:AO872"/>
    <mergeCell ref="W845:AC845"/>
    <mergeCell ref="W852:AC852"/>
    <mergeCell ref="AA893:AF893"/>
    <mergeCell ref="W818:AC818"/>
    <mergeCell ref="W837:AC837"/>
    <mergeCell ref="AG808:AJ808"/>
    <mergeCell ref="AA895:AF895"/>
    <mergeCell ref="AC861:AH861"/>
    <mergeCell ref="W848:AC848"/>
    <mergeCell ref="M854:V854"/>
    <mergeCell ref="AC863:AH863"/>
    <mergeCell ref="F890:T891"/>
    <mergeCell ref="AC860:AH860"/>
    <mergeCell ref="AB891:AE891"/>
    <mergeCell ref="Y799:AB800"/>
    <mergeCell ref="Z792:AE792"/>
    <mergeCell ref="W828:AC828"/>
    <mergeCell ref="W823:AC823"/>
    <mergeCell ref="AP872:AS872"/>
    <mergeCell ref="E870:AB870"/>
    <mergeCell ref="Z874:AE874"/>
    <mergeCell ref="AA892:AF892"/>
    <mergeCell ref="AC870:AH870"/>
    <mergeCell ref="W855:AC855"/>
    <mergeCell ref="Z791:AE791"/>
    <mergeCell ref="B728:F728"/>
    <mergeCell ref="O766:S766"/>
    <mergeCell ref="J767:N767"/>
    <mergeCell ref="O767:S767"/>
    <mergeCell ref="AC806:AF806"/>
    <mergeCell ref="Q805:T805"/>
    <mergeCell ref="Q803:T803"/>
    <mergeCell ref="M806:P806"/>
    <mergeCell ref="AG801:AJ801"/>
    <mergeCell ref="AM728:AO728"/>
    <mergeCell ref="AM729:AO729"/>
    <mergeCell ref="AC751:AG751"/>
    <mergeCell ref="T752:W752"/>
    <mergeCell ref="X752:AB752"/>
    <mergeCell ref="AC752:AG752"/>
    <mergeCell ref="T753:W753"/>
    <mergeCell ref="B726:F726"/>
    <mergeCell ref="O760:S763"/>
    <mergeCell ref="J756:K756"/>
    <mergeCell ref="G724:J724"/>
    <mergeCell ref="G726:J726"/>
    <mergeCell ref="G728:J728"/>
    <mergeCell ref="G727:J727"/>
    <mergeCell ref="G725:J725"/>
    <mergeCell ref="G723:J723"/>
    <mergeCell ref="J752:N752"/>
    <mergeCell ref="O752:S752"/>
    <mergeCell ref="J753:N753"/>
    <mergeCell ref="O753:S753"/>
    <mergeCell ref="B724:F724"/>
    <mergeCell ref="J760:N763"/>
    <mergeCell ref="G729:J729"/>
    <mergeCell ref="B729:F729"/>
    <mergeCell ref="B727:F727"/>
    <mergeCell ref="J754:N754"/>
    <mergeCell ref="B723:F723"/>
    <mergeCell ref="J746:N749"/>
    <mergeCell ref="O750:S750"/>
    <mergeCell ref="K728:N728"/>
    <mergeCell ref="O728:S728"/>
    <mergeCell ref="B715:F715"/>
    <mergeCell ref="B704:F704"/>
    <mergeCell ref="G706:J706"/>
    <mergeCell ref="B706:F706"/>
    <mergeCell ref="G705:J705"/>
    <mergeCell ref="B705:F705"/>
    <mergeCell ref="B707:F707"/>
    <mergeCell ref="G708:J708"/>
    <mergeCell ref="G707:J707"/>
    <mergeCell ref="G715:J715"/>
    <mergeCell ref="P682:R682"/>
    <mergeCell ref="Z688:AK688"/>
    <mergeCell ref="AG676:AH676"/>
    <mergeCell ref="B711:F711"/>
    <mergeCell ref="AI690:AK690"/>
    <mergeCell ref="AG692:AH692"/>
    <mergeCell ref="G700:J703"/>
    <mergeCell ref="G714:J714"/>
    <mergeCell ref="K704:N704"/>
    <mergeCell ref="O704:S704"/>
    <mergeCell ref="T704:X704"/>
    <mergeCell ref="Y704:AB704"/>
    <mergeCell ref="AC704:AG704"/>
    <mergeCell ref="AH704:AL704"/>
    <mergeCell ref="K706:N706"/>
    <mergeCell ref="O706:S706"/>
    <mergeCell ref="T706:X706"/>
    <mergeCell ref="Y706:AB706"/>
    <mergeCell ref="Y710:AB710"/>
    <mergeCell ref="AC710:AG710"/>
    <mergeCell ref="AH710:AL710"/>
    <mergeCell ref="K715:N715"/>
    <mergeCell ref="Z672:AK672"/>
    <mergeCell ref="N668:O668"/>
    <mergeCell ref="G680:R680"/>
    <mergeCell ref="Z680:AK680"/>
    <mergeCell ref="G674:L674"/>
    <mergeCell ref="AI682:AK682"/>
    <mergeCell ref="Z681:AK681"/>
    <mergeCell ref="P666:R666"/>
    <mergeCell ref="Z663:AK663"/>
    <mergeCell ref="Z665:AK665"/>
    <mergeCell ref="G665:R665"/>
    <mergeCell ref="H667:R667"/>
    <mergeCell ref="H659:R659"/>
    <mergeCell ref="G710:J710"/>
    <mergeCell ref="B708:F708"/>
    <mergeCell ref="B714:F714"/>
    <mergeCell ref="B712:F712"/>
    <mergeCell ref="B700:F703"/>
    <mergeCell ref="Z689:AK689"/>
    <mergeCell ref="G687:R687"/>
    <mergeCell ref="Z682:AE682"/>
    <mergeCell ref="G664:R664"/>
    <mergeCell ref="G671:R671"/>
    <mergeCell ref="G679:R679"/>
    <mergeCell ref="H675:R675"/>
    <mergeCell ref="Z674:AE674"/>
    <mergeCell ref="Z679:AK679"/>
    <mergeCell ref="AC706:AG706"/>
    <mergeCell ref="AH706:AL706"/>
    <mergeCell ref="K710:N710"/>
    <mergeCell ref="O710:S710"/>
    <mergeCell ref="T710:X710"/>
    <mergeCell ref="AG594:AH594"/>
    <mergeCell ref="Z606:AK606"/>
    <mergeCell ref="AA601:AK601"/>
    <mergeCell ref="G654:R654"/>
    <mergeCell ref="AG610:AH610"/>
    <mergeCell ref="Z598:AK598"/>
    <mergeCell ref="G649:R649"/>
    <mergeCell ref="Z657:AK657"/>
    <mergeCell ref="P650:R650"/>
    <mergeCell ref="Z656:AK656"/>
    <mergeCell ref="Z597:AK597"/>
    <mergeCell ref="AG602:AH602"/>
    <mergeCell ref="Z599:AK599"/>
    <mergeCell ref="G592:L592"/>
    <mergeCell ref="P592:R592"/>
    <mergeCell ref="G599:R599"/>
    <mergeCell ref="H601:R601"/>
    <mergeCell ref="N594:O594"/>
    <mergeCell ref="N602:O602"/>
    <mergeCell ref="Z655:AK655"/>
    <mergeCell ref="Z654:AK654"/>
    <mergeCell ref="AG618:AH618"/>
    <mergeCell ref="Z616:AE616"/>
    <mergeCell ref="Z650:AE650"/>
    <mergeCell ref="AC633:AE633"/>
    <mergeCell ref="AF633:AJ633"/>
    <mergeCell ref="Z596:AK596"/>
    <mergeCell ref="G613:R613"/>
    <mergeCell ref="Z647:AK647"/>
    <mergeCell ref="G646:R646"/>
    <mergeCell ref="G616:L616"/>
    <mergeCell ref="H609:R609"/>
    <mergeCell ref="AG586:AH586"/>
    <mergeCell ref="N586:O586"/>
    <mergeCell ref="G572:R572"/>
    <mergeCell ref="AH539:AK539"/>
    <mergeCell ref="O541:AA541"/>
    <mergeCell ref="AH544:AK544"/>
    <mergeCell ref="AC542:AF542"/>
    <mergeCell ref="Z588:AK588"/>
    <mergeCell ref="AI592:AK592"/>
    <mergeCell ref="Z646:AK646"/>
    <mergeCell ref="G648:R648"/>
    <mergeCell ref="G598:R598"/>
    <mergeCell ref="H593:R593"/>
    <mergeCell ref="G596:R596"/>
    <mergeCell ref="G604:R604"/>
    <mergeCell ref="Z600:AE600"/>
    <mergeCell ref="AI600:AK600"/>
    <mergeCell ref="G647:R647"/>
    <mergeCell ref="G591:R591"/>
    <mergeCell ref="AC543:AF543"/>
    <mergeCell ref="Z592:AE592"/>
    <mergeCell ref="AA609:AK609"/>
    <mergeCell ref="G614:R614"/>
    <mergeCell ref="G615:R615"/>
    <mergeCell ref="G605:R605"/>
    <mergeCell ref="P608:R608"/>
    <mergeCell ref="G607:R607"/>
    <mergeCell ref="G606:R606"/>
    <mergeCell ref="Z615:AK615"/>
    <mergeCell ref="G597:R597"/>
    <mergeCell ref="Z614:AK614"/>
    <mergeCell ref="G589:R589"/>
    <mergeCell ref="AI584:AK584"/>
    <mergeCell ref="Z583:AK583"/>
    <mergeCell ref="G583:R583"/>
    <mergeCell ref="AA577:AK577"/>
    <mergeCell ref="Z573:AK573"/>
    <mergeCell ref="Z572:AK572"/>
    <mergeCell ref="N578:O578"/>
    <mergeCell ref="Z575:AK575"/>
    <mergeCell ref="P576:R576"/>
    <mergeCell ref="Z582:AK582"/>
    <mergeCell ref="G576:L576"/>
    <mergeCell ref="G575:R575"/>
    <mergeCell ref="G581:R581"/>
    <mergeCell ref="G573:R573"/>
    <mergeCell ref="Z576:AE576"/>
    <mergeCell ref="AI576:AK576"/>
    <mergeCell ref="G582:R582"/>
    <mergeCell ref="W460:Y460"/>
    <mergeCell ref="D469:V469"/>
    <mergeCell ref="D444:AJ445"/>
    <mergeCell ref="D430:AF430"/>
    <mergeCell ref="T479:X480"/>
    <mergeCell ref="AA332:AK332"/>
    <mergeCell ref="N364:Q364"/>
    <mergeCell ref="A473:AL474"/>
    <mergeCell ref="Y481:AC481"/>
    <mergeCell ref="T483:X483"/>
    <mergeCell ref="Y482:AC482"/>
    <mergeCell ref="Y484:AC484"/>
    <mergeCell ref="Y487:AC487"/>
    <mergeCell ref="AD482:AH482"/>
    <mergeCell ref="T481:X481"/>
    <mergeCell ref="B510:H519"/>
    <mergeCell ref="O535:AA535"/>
    <mergeCell ref="AH523:AK523"/>
    <mergeCell ref="AC522:AF522"/>
    <mergeCell ref="AC520:AF520"/>
    <mergeCell ref="AC523:AF523"/>
    <mergeCell ref="AC510:AF510"/>
    <mergeCell ref="AC511:AF511"/>
    <mergeCell ref="E361:AH362"/>
    <mergeCell ref="AC364:AF364"/>
    <mergeCell ref="P333:R333"/>
    <mergeCell ref="H334:M334"/>
    <mergeCell ref="A345:AL346"/>
    <mergeCell ref="AA343:AK343"/>
    <mergeCell ref="M351:N351"/>
    <mergeCell ref="AA338:AK338"/>
    <mergeCell ref="AA335:AK335"/>
    <mergeCell ref="G128:H128"/>
    <mergeCell ref="M238:AE238"/>
    <mergeCell ref="A20:AL20"/>
    <mergeCell ref="H17:AJ17"/>
    <mergeCell ref="M25:Q25"/>
    <mergeCell ref="M27:Q27"/>
    <mergeCell ref="M235:AK235"/>
    <mergeCell ref="P204:U204"/>
    <mergeCell ref="W204:AB204"/>
    <mergeCell ref="H329:R329"/>
    <mergeCell ref="AH521:AK521"/>
    <mergeCell ref="T487:X487"/>
    <mergeCell ref="AD481:AH481"/>
    <mergeCell ref="W465:Y465"/>
    <mergeCell ref="Y486:AC486"/>
    <mergeCell ref="T486:X486"/>
    <mergeCell ref="Y483:AC483"/>
    <mergeCell ref="AD487:AH487"/>
    <mergeCell ref="AH508:AK508"/>
    <mergeCell ref="AH511:AK511"/>
    <mergeCell ref="Q499:AK499"/>
    <mergeCell ref="AH509:AK509"/>
    <mergeCell ref="Q500:AK500"/>
    <mergeCell ref="AC509:AF509"/>
    <mergeCell ref="AC506:AK506"/>
    <mergeCell ref="P341:R341"/>
    <mergeCell ref="D442:AF442"/>
    <mergeCell ref="H333:M333"/>
    <mergeCell ref="J378:U378"/>
    <mergeCell ref="P411:R411"/>
    <mergeCell ref="H341:M341"/>
    <mergeCell ref="D463:V463"/>
    <mergeCell ref="D438:AF438"/>
    <mergeCell ref="D434:AF434"/>
    <mergeCell ref="D435:AF435"/>
    <mergeCell ref="D436:AF436"/>
    <mergeCell ref="H330:R330"/>
    <mergeCell ref="H319:R319"/>
    <mergeCell ref="AB278:AD278"/>
    <mergeCell ref="L282:AD282"/>
    <mergeCell ref="H301:M301"/>
    <mergeCell ref="AA291:AK291"/>
    <mergeCell ref="H291:R291"/>
    <mergeCell ref="AA292:AK292"/>
    <mergeCell ref="AA297:AK297"/>
    <mergeCell ref="AA301:AF301"/>
    <mergeCell ref="A9:AL9"/>
    <mergeCell ref="D203:M203"/>
    <mergeCell ref="P203:U203"/>
    <mergeCell ref="W203:AB203"/>
    <mergeCell ref="A19:AL19"/>
    <mergeCell ref="O225:P225"/>
    <mergeCell ref="I185:AE185"/>
    <mergeCell ref="A10:AL10"/>
    <mergeCell ref="H15:AJ15"/>
    <mergeCell ref="AA327:AK327"/>
    <mergeCell ref="AC218:AM218"/>
    <mergeCell ref="Y131:AK131"/>
    <mergeCell ref="Y134:AK134"/>
    <mergeCell ref="AA324:AK324"/>
    <mergeCell ref="AA319:AK319"/>
    <mergeCell ref="A11:AL11"/>
    <mergeCell ref="C130:K130"/>
    <mergeCell ref="A12:AL13"/>
    <mergeCell ref="AG430:AJ430"/>
    <mergeCell ref="P418:Q418"/>
    <mergeCell ref="E413:AJ413"/>
    <mergeCell ref="D458:V458"/>
    <mergeCell ref="W458:Y458"/>
    <mergeCell ref="AD404:AE404"/>
    <mergeCell ref="AE423:AF423"/>
    <mergeCell ref="I411:K411"/>
    <mergeCell ref="D431:AF431"/>
    <mergeCell ref="AI382:AJ382"/>
    <mergeCell ref="AG442:AJ442"/>
    <mergeCell ref="M349:N349"/>
    <mergeCell ref="J178:K178"/>
    <mergeCell ref="M178:N178"/>
    <mergeCell ref="AD178:AH178"/>
    <mergeCell ref="E187:AE188"/>
    <mergeCell ref="AE215:AF215"/>
    <mergeCell ref="M239:R239"/>
    <mergeCell ref="M240:AE240"/>
    <mergeCell ref="M241:T241"/>
    <mergeCell ref="AC247:AE247"/>
    <mergeCell ref="AG439:AJ439"/>
    <mergeCell ref="AF245:AK245"/>
    <mergeCell ref="M236:AE236"/>
    <mergeCell ref="AC237:AE237"/>
    <mergeCell ref="R404:S404"/>
    <mergeCell ref="M246:AE246"/>
    <mergeCell ref="AE418:AF418"/>
    <mergeCell ref="Q422:R422"/>
    <mergeCell ref="AG441:AJ441"/>
    <mergeCell ref="AA333:AF333"/>
    <mergeCell ref="D433:AF433"/>
    <mergeCell ref="Z591:AK591"/>
    <mergeCell ref="AI616:AK616"/>
    <mergeCell ref="G584:L584"/>
    <mergeCell ref="Z608:AE608"/>
    <mergeCell ref="G600:L600"/>
    <mergeCell ref="P600:R600"/>
    <mergeCell ref="Z604:AK604"/>
    <mergeCell ref="Z584:AE584"/>
    <mergeCell ref="Z574:AK574"/>
    <mergeCell ref="G574:R574"/>
    <mergeCell ref="G590:R590"/>
    <mergeCell ref="G588:R588"/>
    <mergeCell ref="Z590:AK590"/>
    <mergeCell ref="G612:R612"/>
    <mergeCell ref="N610:O610"/>
    <mergeCell ref="H577:R577"/>
    <mergeCell ref="AD486:AH486"/>
    <mergeCell ref="AH507:AK507"/>
    <mergeCell ref="AH522:AK522"/>
    <mergeCell ref="AH510:AK510"/>
    <mergeCell ref="AH513:AK513"/>
    <mergeCell ref="AH528:AK528"/>
    <mergeCell ref="Y488:AC488"/>
    <mergeCell ref="AH512:AK512"/>
    <mergeCell ref="AC521:AF521"/>
    <mergeCell ref="AC513:AF513"/>
    <mergeCell ref="B508:H509"/>
    <mergeCell ref="O538:AA538"/>
    <mergeCell ref="AH538:AK538"/>
    <mergeCell ref="B520:H522"/>
    <mergeCell ref="AG578:AH578"/>
    <mergeCell ref="AA585:AK585"/>
    <mergeCell ref="AH527:AK527"/>
    <mergeCell ref="AC536:AF536"/>
    <mergeCell ref="AH537:AK537"/>
    <mergeCell ref="AC529:AF529"/>
    <mergeCell ref="AC538:AF538"/>
    <mergeCell ref="AC533:AF533"/>
    <mergeCell ref="P584:R584"/>
    <mergeCell ref="B526:H548"/>
    <mergeCell ref="AH526:AK526"/>
    <mergeCell ref="AC540:AF540"/>
    <mergeCell ref="AH545:AK545"/>
    <mergeCell ref="AC545:AF545"/>
    <mergeCell ref="AC547:AF547"/>
    <mergeCell ref="AH546:AK546"/>
    <mergeCell ref="AC541:AF541"/>
    <mergeCell ref="AC537:AF537"/>
    <mergeCell ref="AH548:AK548"/>
    <mergeCell ref="AH541:AK541"/>
    <mergeCell ref="Z580:AK580"/>
    <mergeCell ref="G580:R580"/>
    <mergeCell ref="AC546:AF546"/>
    <mergeCell ref="O529:AA529"/>
    <mergeCell ref="AH536:AK536"/>
    <mergeCell ref="C563:P563"/>
    <mergeCell ref="Q563:S563"/>
    <mergeCell ref="T563:V563"/>
    <mergeCell ref="W563:Y563"/>
    <mergeCell ref="Z563:AD563"/>
    <mergeCell ref="AE563:AH563"/>
    <mergeCell ref="AI563:AL563"/>
    <mergeCell ref="AC534:AF534"/>
    <mergeCell ref="Z581:AK581"/>
    <mergeCell ref="AH531:AK531"/>
    <mergeCell ref="AH532:AK532"/>
    <mergeCell ref="BI605:BJ605"/>
    <mergeCell ref="BK603:BL603"/>
    <mergeCell ref="BI606:BJ606"/>
    <mergeCell ref="BG624:BH624"/>
    <mergeCell ref="BE602:BF602"/>
    <mergeCell ref="BG602:BH602"/>
    <mergeCell ref="BI602:BJ602"/>
    <mergeCell ref="BK602:BL602"/>
    <mergeCell ref="BG607:BH607"/>
    <mergeCell ref="Z605:AK605"/>
    <mergeCell ref="BE606:BF606"/>
    <mergeCell ref="BE607:BF607"/>
    <mergeCell ref="BE612:BF612"/>
    <mergeCell ref="BI620:BJ620"/>
    <mergeCell ref="BK620:BL620"/>
    <mergeCell ref="BG610:BH610"/>
    <mergeCell ref="BE609:BF609"/>
    <mergeCell ref="BE608:BF608"/>
    <mergeCell ref="BI611:BJ611"/>
    <mergeCell ref="BI612:BJ612"/>
    <mergeCell ref="BK612:BL612"/>
    <mergeCell ref="BG604:BH604"/>
    <mergeCell ref="Z612:AK612"/>
    <mergeCell ref="Z607:AK607"/>
    <mergeCell ref="BK610:BL610"/>
    <mergeCell ref="BG609:BH609"/>
    <mergeCell ref="BI613:BJ613"/>
    <mergeCell ref="BK613:BL613"/>
    <mergeCell ref="BI609:BJ609"/>
    <mergeCell ref="Z589:AK589"/>
    <mergeCell ref="BE620:BF620"/>
    <mergeCell ref="BG620:BH620"/>
    <mergeCell ref="BE610:BF610"/>
    <mergeCell ref="BK608:BL608"/>
    <mergeCell ref="G608:L608"/>
    <mergeCell ref="BE614:BF614"/>
    <mergeCell ref="BE615:BF615"/>
    <mergeCell ref="BE618:BF618"/>
    <mergeCell ref="G688:R688"/>
    <mergeCell ref="AI650:AK650"/>
    <mergeCell ref="Z649:AK649"/>
    <mergeCell ref="AG660:AH660"/>
    <mergeCell ref="AA675:AK675"/>
    <mergeCell ref="Z662:AK662"/>
    <mergeCell ref="G681:R681"/>
    <mergeCell ref="BE622:BF622"/>
    <mergeCell ref="BG621:BH621"/>
    <mergeCell ref="BG616:BH616"/>
    <mergeCell ref="BI614:BJ614"/>
    <mergeCell ref="BK614:BL614"/>
    <mergeCell ref="BK625:BL625"/>
    <mergeCell ref="BK623:BL623"/>
    <mergeCell ref="BK615:BL615"/>
    <mergeCell ref="BI616:BJ616"/>
    <mergeCell ref="BK616:BL616"/>
    <mergeCell ref="BK619:BL619"/>
    <mergeCell ref="BI618:BJ618"/>
    <mergeCell ref="BE625:BF625"/>
    <mergeCell ref="AO631:AS631"/>
    <mergeCell ref="BI617:BJ617"/>
    <mergeCell ref="P616:R616"/>
    <mergeCell ref="Z648:AK648"/>
    <mergeCell ref="N618:O618"/>
    <mergeCell ref="G666:L666"/>
    <mergeCell ref="Z678:AK678"/>
    <mergeCell ref="G670:R670"/>
    <mergeCell ref="G662:R662"/>
    <mergeCell ref="B627:N629"/>
    <mergeCell ref="O627:Q629"/>
    <mergeCell ref="U627:W629"/>
    <mergeCell ref="X627:AB629"/>
    <mergeCell ref="AC627:AE629"/>
    <mergeCell ref="AF627:AJ629"/>
    <mergeCell ref="R631:T631"/>
    <mergeCell ref="U631:W631"/>
    <mergeCell ref="X631:AB631"/>
    <mergeCell ref="AC631:AE631"/>
    <mergeCell ref="AF631:AJ631"/>
    <mergeCell ref="AK631:AN631"/>
    <mergeCell ref="AK627:AN629"/>
    <mergeCell ref="C633:N633"/>
    <mergeCell ref="O633:Q633"/>
    <mergeCell ref="R633:T633"/>
    <mergeCell ref="U633:W633"/>
    <mergeCell ref="X633:AB633"/>
    <mergeCell ref="G658:L658"/>
    <mergeCell ref="AK633:AN633"/>
    <mergeCell ref="C636:N636"/>
    <mergeCell ref="O636:Q636"/>
    <mergeCell ref="R636:T636"/>
    <mergeCell ref="U636:W636"/>
    <mergeCell ref="X636:AB636"/>
    <mergeCell ref="AC636:AE636"/>
    <mergeCell ref="AF636:AJ636"/>
    <mergeCell ref="BE601:BF601"/>
    <mergeCell ref="BG601:BH601"/>
    <mergeCell ref="BI601:BJ601"/>
    <mergeCell ref="BK601:BL601"/>
    <mergeCell ref="BG600:BH600"/>
    <mergeCell ref="BK600:BL600"/>
    <mergeCell ref="BI621:BJ621"/>
    <mergeCell ref="BK621:BL621"/>
    <mergeCell ref="BE605:BF605"/>
    <mergeCell ref="BI604:BJ604"/>
    <mergeCell ref="BI615:BJ615"/>
    <mergeCell ref="BG615:BH615"/>
    <mergeCell ref="BK626:BL626"/>
    <mergeCell ref="BE619:BF619"/>
    <mergeCell ref="BG622:BH622"/>
    <mergeCell ref="BG625:BH625"/>
    <mergeCell ref="BI625:BJ625"/>
    <mergeCell ref="BG626:BH626"/>
    <mergeCell ref="BE617:BF617"/>
    <mergeCell ref="BK624:BL624"/>
    <mergeCell ref="BI622:BJ622"/>
    <mergeCell ref="BG618:BH618"/>
    <mergeCell ref="BK617:BL617"/>
    <mergeCell ref="BE624:BF624"/>
    <mergeCell ref="BI624:BJ624"/>
    <mergeCell ref="BI619:BJ619"/>
    <mergeCell ref="BE623:BF623"/>
    <mergeCell ref="BG623:BH623"/>
    <mergeCell ref="BE604:BF604"/>
    <mergeCell ref="BE603:BF603"/>
    <mergeCell ref="BG603:BH603"/>
    <mergeCell ref="BI603:BJ603"/>
    <mergeCell ref="BE621:BF621"/>
    <mergeCell ref="BE616:BF616"/>
    <mergeCell ref="BG619:BH619"/>
    <mergeCell ref="BG617:BH617"/>
    <mergeCell ref="BK618:BL618"/>
    <mergeCell ref="R627:T629"/>
    <mergeCell ref="B721:F721"/>
    <mergeCell ref="O754:S754"/>
    <mergeCell ref="J751:N751"/>
    <mergeCell ref="O751:S751"/>
    <mergeCell ref="J750:N750"/>
    <mergeCell ref="O746:S749"/>
    <mergeCell ref="BK622:BL622"/>
    <mergeCell ref="BG613:BH613"/>
    <mergeCell ref="BG614:BH614"/>
    <mergeCell ref="BK604:BL604"/>
    <mergeCell ref="BI623:BJ623"/>
    <mergeCell ref="BG611:BH611"/>
    <mergeCell ref="BG606:BH606"/>
    <mergeCell ref="BK606:BL606"/>
    <mergeCell ref="BK605:BL605"/>
    <mergeCell ref="BG605:BH605"/>
    <mergeCell ref="BE611:BF611"/>
    <mergeCell ref="BG612:BH612"/>
    <mergeCell ref="AA667:AK667"/>
    <mergeCell ref="BE613:BF613"/>
    <mergeCell ref="B642:AN642"/>
    <mergeCell ref="AO642:AS642"/>
    <mergeCell ref="B643:AN643"/>
    <mergeCell ref="AO643:AS643"/>
    <mergeCell ref="B644:AN644"/>
    <mergeCell ref="B719:F719"/>
    <mergeCell ref="B720:F720"/>
    <mergeCell ref="B725:F725"/>
    <mergeCell ref="B722:F722"/>
    <mergeCell ref="B718:F718"/>
    <mergeCell ref="G717:J717"/>
    <mergeCell ref="G711:J711"/>
    <mergeCell ref="U893:Z893"/>
    <mergeCell ref="M799:P800"/>
    <mergeCell ref="Q799:T800"/>
    <mergeCell ref="AC801:AF801"/>
    <mergeCell ref="AA897:AF897"/>
    <mergeCell ref="A884:AL885"/>
    <mergeCell ref="U801:X801"/>
    <mergeCell ref="C803:H803"/>
    <mergeCell ref="M837:V837"/>
    <mergeCell ref="M805:P805"/>
    <mergeCell ref="W839:AC839"/>
    <mergeCell ref="Y807:AB807"/>
    <mergeCell ref="W835:AC835"/>
    <mergeCell ref="U803:X803"/>
    <mergeCell ref="M852:V852"/>
    <mergeCell ref="AC871:AH871"/>
    <mergeCell ref="AG802:AJ802"/>
    <mergeCell ref="F807:L807"/>
    <mergeCell ref="Y801:AB801"/>
    <mergeCell ref="Q804:T804"/>
    <mergeCell ref="AC862:AH862"/>
    <mergeCell ref="F889:T889"/>
    <mergeCell ref="C808:L808"/>
    <mergeCell ref="AG799:AJ800"/>
    <mergeCell ref="U806:X806"/>
    <mergeCell ref="C804:H804"/>
    <mergeCell ref="T728:X728"/>
    <mergeCell ref="Y728:AB728"/>
    <mergeCell ref="AC728:AG728"/>
    <mergeCell ref="AH728:AL728"/>
    <mergeCell ref="X754:AB754"/>
    <mergeCell ref="AC754:AG754"/>
    <mergeCell ref="Z794:AE794"/>
    <mergeCell ref="J768:N768"/>
    <mergeCell ref="O768:S768"/>
    <mergeCell ref="Z789:AE789"/>
    <mergeCell ref="Z784:AE784"/>
    <mergeCell ref="J769:N769"/>
    <mergeCell ref="O769:S769"/>
    <mergeCell ref="T760:W763"/>
    <mergeCell ref="X760:AB763"/>
    <mergeCell ref="AC760:AG763"/>
    <mergeCell ref="T729:X729"/>
    <mergeCell ref="AH729:AL729"/>
    <mergeCell ref="T746:W749"/>
    <mergeCell ref="X746:AB749"/>
    <mergeCell ref="AC746:AG749"/>
    <mergeCell ref="T750:W750"/>
    <mergeCell ref="X750:AB750"/>
    <mergeCell ref="AC750:AG750"/>
    <mergeCell ref="T751:W751"/>
    <mergeCell ref="X751:AB751"/>
    <mergeCell ref="X753:AB753"/>
    <mergeCell ref="AC753:AG753"/>
    <mergeCell ref="X764:AB764"/>
    <mergeCell ref="AC764:AG764"/>
    <mergeCell ref="T765:W765"/>
    <mergeCell ref="X765:AB765"/>
    <mergeCell ref="D1045:AK1048"/>
    <mergeCell ref="D1049:AK1052"/>
    <mergeCell ref="D1053:AK1055"/>
    <mergeCell ref="C736:AK744"/>
    <mergeCell ref="D1016:AK1021"/>
    <mergeCell ref="D1022:AK1027"/>
    <mergeCell ref="D1028:AK1033"/>
    <mergeCell ref="D1034:AK1036"/>
    <mergeCell ref="D1037:AK1041"/>
    <mergeCell ref="E869:AB869"/>
    <mergeCell ref="Z790:AE790"/>
    <mergeCell ref="Z783:AE783"/>
    <mergeCell ref="AC716:AG716"/>
    <mergeCell ref="AH716:AL716"/>
    <mergeCell ref="K720:N720"/>
    <mergeCell ref="O720:S720"/>
    <mergeCell ref="T720:X720"/>
    <mergeCell ref="Y720:AB720"/>
    <mergeCell ref="AC720:AG720"/>
    <mergeCell ref="AH720:AL720"/>
    <mergeCell ref="K724:N724"/>
    <mergeCell ref="O724:S724"/>
    <mergeCell ref="G718:J718"/>
    <mergeCell ref="AG803:AJ803"/>
    <mergeCell ref="AF731:AH731"/>
    <mergeCell ref="C813:AJ813"/>
    <mergeCell ref="M822:V822"/>
    <mergeCell ref="M808:P808"/>
    <mergeCell ref="W820:AC820"/>
    <mergeCell ref="Z782:AE782"/>
    <mergeCell ref="W821:AC821"/>
    <mergeCell ref="J766:N766"/>
    <mergeCell ref="V375:W375"/>
    <mergeCell ref="AG443:AJ443"/>
    <mergeCell ref="AA340:AK340"/>
    <mergeCell ref="V370:W370"/>
    <mergeCell ref="T482:X482"/>
    <mergeCell ref="AD483:AH483"/>
    <mergeCell ref="AH519:AK519"/>
    <mergeCell ref="K396:AJ396"/>
    <mergeCell ref="AH524:AK524"/>
    <mergeCell ref="AH520:AK520"/>
    <mergeCell ref="AC530:AF530"/>
    <mergeCell ref="AD485:AH485"/>
    <mergeCell ref="AD484:AH484"/>
    <mergeCell ref="Q494:AK494"/>
    <mergeCell ref="Q495:AK495"/>
    <mergeCell ref="AD490:AH490"/>
    <mergeCell ref="AD489:AH489"/>
    <mergeCell ref="T488:X488"/>
    <mergeCell ref="AD488:AH488"/>
    <mergeCell ref="AC525:AF525"/>
    <mergeCell ref="AC507:AF507"/>
    <mergeCell ref="W464:Y464"/>
    <mergeCell ref="Z427:AA427"/>
    <mergeCell ref="AG433:AJ433"/>
    <mergeCell ref="Y489:AC489"/>
    <mergeCell ref="T489:X489"/>
    <mergeCell ref="Y490:AC490"/>
    <mergeCell ref="AC528:AF528"/>
    <mergeCell ref="AH529:AK529"/>
    <mergeCell ref="AG440:AJ440"/>
    <mergeCell ref="P417:Q417"/>
    <mergeCell ref="H407:AJ408"/>
    <mergeCell ref="AC514:AF514"/>
    <mergeCell ref="AH514:AK514"/>
    <mergeCell ref="L515:AB515"/>
    <mergeCell ref="AC515:AF515"/>
    <mergeCell ref="AH515:AK515"/>
    <mergeCell ref="AC516:AF516"/>
    <mergeCell ref="AH516:AK516"/>
    <mergeCell ref="K397:AJ397"/>
    <mergeCell ref="S398:AJ398"/>
    <mergeCell ref="Y479:AC480"/>
    <mergeCell ref="D437:AF437"/>
    <mergeCell ref="D432:AF432"/>
    <mergeCell ref="W461:Y461"/>
    <mergeCell ref="AD479:AH480"/>
    <mergeCell ref="W463:Y463"/>
    <mergeCell ref="W470:Y470"/>
    <mergeCell ref="AG447:AJ447"/>
    <mergeCell ref="AG448:AJ448"/>
    <mergeCell ref="T478:AH478"/>
    <mergeCell ref="D462:V462"/>
    <mergeCell ref="D459:V459"/>
    <mergeCell ref="AG435:AJ435"/>
    <mergeCell ref="AG432:AJ432"/>
    <mergeCell ref="D440:AF440"/>
    <mergeCell ref="D399:AJ400"/>
    <mergeCell ref="I414:K414"/>
    <mergeCell ref="AD405:AE405"/>
    <mergeCell ref="S406:T406"/>
    <mergeCell ref="AC447:AF447"/>
    <mergeCell ref="W469:Y469"/>
    <mergeCell ref="AG434:AJ434"/>
    <mergeCell ref="AG437:AJ437"/>
    <mergeCell ref="P906:T906"/>
    <mergeCell ref="AA334:AF334"/>
    <mergeCell ref="AG372:AH372"/>
    <mergeCell ref="AA339:AK339"/>
    <mergeCell ref="H335:R335"/>
    <mergeCell ref="H338:R338"/>
    <mergeCell ref="H343:R343"/>
    <mergeCell ref="Z425:AA425"/>
    <mergeCell ref="AH547:AK547"/>
    <mergeCell ref="D470:V470"/>
    <mergeCell ref="G465:V465"/>
    <mergeCell ref="W462:Y462"/>
    <mergeCell ref="T485:X485"/>
    <mergeCell ref="Y485:AC485"/>
    <mergeCell ref="T490:X490"/>
    <mergeCell ref="Q492:AK492"/>
    <mergeCell ref="AC449:AF449"/>
    <mergeCell ref="D439:AF439"/>
    <mergeCell ref="AG438:AJ438"/>
    <mergeCell ref="D464:V464"/>
    <mergeCell ref="F420:AH421"/>
    <mergeCell ref="AG431:AJ431"/>
    <mergeCell ref="AC448:AF448"/>
    <mergeCell ref="D460:V460"/>
    <mergeCell ref="B557:P557"/>
    <mergeCell ref="Q557:S557"/>
    <mergeCell ref="T557:V557"/>
    <mergeCell ref="W557:Y557"/>
    <mergeCell ref="Z557:AD557"/>
    <mergeCell ref="AE557:AH557"/>
    <mergeCell ref="AI557:AL557"/>
    <mergeCell ref="B496:P497"/>
    <mergeCell ref="J379:U379"/>
    <mergeCell ref="AC379:AJ379"/>
    <mergeCell ref="J380:U380"/>
    <mergeCell ref="AC380:AJ380"/>
    <mergeCell ref="J381:U381"/>
    <mergeCell ref="V381:AJ381"/>
    <mergeCell ref="Q382:U382"/>
    <mergeCell ref="I385:N385"/>
    <mergeCell ref="S385:U385"/>
    <mergeCell ref="AI385:AJ385"/>
    <mergeCell ref="Q386:U386"/>
    <mergeCell ref="AG386:AJ386"/>
    <mergeCell ref="Q387:U387"/>
    <mergeCell ref="AG387:AJ387"/>
    <mergeCell ref="AG388:AJ388"/>
    <mergeCell ref="AC512:AF512"/>
    <mergeCell ref="T484:X484"/>
    <mergeCell ref="AC508:AF508"/>
    <mergeCell ref="Q493:AK493"/>
    <mergeCell ref="S394:U394"/>
    <mergeCell ref="AG394:AJ394"/>
    <mergeCell ref="S395:U395"/>
    <mergeCell ref="AE395:AJ395"/>
    <mergeCell ref="Q496:R497"/>
    <mergeCell ref="S496:AK497"/>
    <mergeCell ref="Q498:AK498"/>
    <mergeCell ref="Q501:AK501"/>
    <mergeCell ref="M502:P502"/>
    <mergeCell ref="AH502:AK502"/>
    <mergeCell ref="Q383:U383"/>
    <mergeCell ref="AG383:AJ383"/>
    <mergeCell ref="AG436:AJ436"/>
    <mergeCell ref="AM563:AS563"/>
    <mergeCell ref="AA322:AK322"/>
    <mergeCell ref="AG370:AH370"/>
    <mergeCell ref="AI390:AJ390"/>
    <mergeCell ref="T391:AJ391"/>
    <mergeCell ref="T392:AJ392"/>
    <mergeCell ref="D441:AF441"/>
    <mergeCell ref="W459:Y459"/>
    <mergeCell ref="P414:R414"/>
    <mergeCell ref="E411:G411"/>
    <mergeCell ref="AE417:AF417"/>
    <mergeCell ref="R405:S405"/>
    <mergeCell ref="AF411:AH411"/>
    <mergeCell ref="C568:P568"/>
    <mergeCell ref="Q568:S568"/>
    <mergeCell ref="T568:V568"/>
    <mergeCell ref="W568:Y568"/>
    <mergeCell ref="Z568:AD568"/>
    <mergeCell ref="AE568:AH568"/>
    <mergeCell ref="AI568:AL568"/>
    <mergeCell ref="W567:Y567"/>
    <mergeCell ref="Z567:AD567"/>
    <mergeCell ref="AE567:AH567"/>
    <mergeCell ref="AI567:AL567"/>
    <mergeCell ref="AC517:AF517"/>
    <mergeCell ref="AH517:AK517"/>
    <mergeCell ref="AC519:AF519"/>
    <mergeCell ref="AH543:AK543"/>
    <mergeCell ref="AH542:AK542"/>
    <mergeCell ref="AH533:AK533"/>
    <mergeCell ref="AC535:AF535"/>
    <mergeCell ref="AH535:AK535"/>
    <mergeCell ref="AC539:AF539"/>
    <mergeCell ref="AH540:AK540"/>
    <mergeCell ref="AC544:AF544"/>
    <mergeCell ref="B523:H525"/>
    <mergeCell ref="AH530:AK530"/>
    <mergeCell ref="AC524:AF524"/>
    <mergeCell ref="O532:AA532"/>
    <mergeCell ref="AC532:AF532"/>
    <mergeCell ref="AC526:AF526"/>
    <mergeCell ref="AC527:AF527"/>
    <mergeCell ref="AH525:AK525"/>
    <mergeCell ref="O526:AA526"/>
    <mergeCell ref="AI559:AL559"/>
    <mergeCell ref="AM559:AS559"/>
    <mergeCell ref="C560:P560"/>
    <mergeCell ref="Q560:S560"/>
    <mergeCell ref="T560:V560"/>
    <mergeCell ref="W560:Y560"/>
    <mergeCell ref="Z560:AD560"/>
    <mergeCell ref="AE560:AH560"/>
    <mergeCell ref="AI560:AL560"/>
    <mergeCell ref="AM560:AS560"/>
    <mergeCell ref="AM557:AS557"/>
    <mergeCell ref="C558:P558"/>
    <mergeCell ref="Q558:S558"/>
    <mergeCell ref="T558:V558"/>
    <mergeCell ref="W558:Y558"/>
    <mergeCell ref="Z558:AD558"/>
    <mergeCell ref="AE558:AH558"/>
    <mergeCell ref="AH534:AK534"/>
    <mergeCell ref="AC548:AF548"/>
    <mergeCell ref="AC531:AF531"/>
    <mergeCell ref="T569:V569"/>
    <mergeCell ref="W569:Y569"/>
    <mergeCell ref="Z569:AD569"/>
    <mergeCell ref="AE569:AH569"/>
    <mergeCell ref="C565:P565"/>
    <mergeCell ref="Q565:S565"/>
    <mergeCell ref="T565:V565"/>
    <mergeCell ref="W565:Y565"/>
    <mergeCell ref="Z565:AD565"/>
    <mergeCell ref="AE565:AH565"/>
    <mergeCell ref="AM567:AS567"/>
    <mergeCell ref="AI569:AL569"/>
    <mergeCell ref="AM569:AS569"/>
    <mergeCell ref="C566:P566"/>
    <mergeCell ref="Q566:S566"/>
    <mergeCell ref="T566:V566"/>
    <mergeCell ref="W566:Y566"/>
    <mergeCell ref="Z566:AD566"/>
    <mergeCell ref="AE566:AH566"/>
    <mergeCell ref="AI566:AL566"/>
    <mergeCell ref="AM566:AS566"/>
    <mergeCell ref="C567:P567"/>
    <mergeCell ref="Q567:S567"/>
    <mergeCell ref="T567:V567"/>
    <mergeCell ref="B570:AL570"/>
    <mergeCell ref="AM570:AS570"/>
    <mergeCell ref="A550:AS551"/>
    <mergeCell ref="C561:P561"/>
    <mergeCell ref="Q561:S561"/>
    <mergeCell ref="T561:V561"/>
    <mergeCell ref="W561:Y561"/>
    <mergeCell ref="Z561:AD561"/>
    <mergeCell ref="AE561:AH561"/>
    <mergeCell ref="AI561:AL561"/>
    <mergeCell ref="AM561:AS561"/>
    <mergeCell ref="C562:P562"/>
    <mergeCell ref="Q562:S562"/>
    <mergeCell ref="T562:V562"/>
    <mergeCell ref="W562:Y562"/>
    <mergeCell ref="Z562:AD562"/>
    <mergeCell ref="AE562:AH562"/>
    <mergeCell ref="AI562:AL562"/>
    <mergeCell ref="AM562:AS562"/>
    <mergeCell ref="AI565:AL565"/>
    <mergeCell ref="AM565:AS565"/>
    <mergeCell ref="AI558:AL558"/>
    <mergeCell ref="AM558:AS558"/>
    <mergeCell ref="C559:P559"/>
    <mergeCell ref="Q559:S559"/>
    <mergeCell ref="T559:V559"/>
    <mergeCell ref="W559:Y559"/>
    <mergeCell ref="Z559:AD559"/>
    <mergeCell ref="AE559:AH559"/>
    <mergeCell ref="AM568:AS568"/>
    <mergeCell ref="C569:P569"/>
    <mergeCell ref="Q569:S569"/>
    <mergeCell ref="DR601:DV601"/>
    <mergeCell ref="DR602:DV602"/>
    <mergeCell ref="DR603:DV603"/>
    <mergeCell ref="DR604:DV604"/>
    <mergeCell ref="DR605:DV605"/>
    <mergeCell ref="DR606:DV606"/>
    <mergeCell ref="DR607:DV607"/>
    <mergeCell ref="DR608:DV608"/>
    <mergeCell ref="DR609:DV609"/>
    <mergeCell ref="DR610:DV610"/>
    <mergeCell ref="DR611:DV611"/>
    <mergeCell ref="DR612:DV612"/>
    <mergeCell ref="CS606:CW606"/>
    <mergeCell ref="CS607:CW607"/>
    <mergeCell ref="CS608:CW608"/>
    <mergeCell ref="CS609:CW609"/>
    <mergeCell ref="CS610:CW610"/>
    <mergeCell ref="CS611:CW611"/>
    <mergeCell ref="CS612:CW612"/>
    <mergeCell ref="CS601:CW601"/>
    <mergeCell ref="CS602:CW602"/>
    <mergeCell ref="CS603:CW603"/>
    <mergeCell ref="CS604:CW604"/>
    <mergeCell ref="CS605:CW605"/>
    <mergeCell ref="BS600:BW600"/>
    <mergeCell ref="BX600:CB600"/>
    <mergeCell ref="CC600:CG600"/>
    <mergeCell ref="CH600:CL600"/>
    <mergeCell ref="CM600:CQ600"/>
    <mergeCell ref="BS601:BW601"/>
    <mergeCell ref="BX601:CB601"/>
    <mergeCell ref="CC601:CG601"/>
    <mergeCell ref="DR613:DV613"/>
    <mergeCell ref="DR614:DV614"/>
    <mergeCell ref="DR615:DV615"/>
    <mergeCell ref="DR616:DV616"/>
    <mergeCell ref="DR617:DV617"/>
    <mergeCell ref="DR618:DV618"/>
    <mergeCell ref="DR619:DV619"/>
    <mergeCell ref="DM601:DQ601"/>
    <mergeCell ref="DR620:DV62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H615:DL615"/>
    <mergeCell ref="DR621:DV621"/>
    <mergeCell ref="DR622:DV622"/>
    <mergeCell ref="DR623:DV623"/>
    <mergeCell ref="DR624:DV624"/>
    <mergeCell ref="DR625:DV625"/>
    <mergeCell ref="DR626:DV626"/>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24:DQ624"/>
    <mergeCell ref="DM625:DQ625"/>
    <mergeCell ref="DM626:DQ626"/>
    <mergeCell ref="DH616:DL616"/>
    <mergeCell ref="DH617:DL617"/>
    <mergeCell ref="DH618:DL618"/>
    <mergeCell ref="DH619:DL619"/>
    <mergeCell ref="DH620:DL620"/>
    <mergeCell ref="DH621:DL621"/>
    <mergeCell ref="DH622:DL622"/>
    <mergeCell ref="DH623:DL623"/>
    <mergeCell ref="DH624:DL624"/>
    <mergeCell ref="DH625:DL625"/>
    <mergeCell ref="DH626:DL626"/>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24:DG624"/>
    <mergeCell ref="DC625:DG625"/>
    <mergeCell ref="DC626:DG626"/>
    <mergeCell ref="CX626:DB626"/>
    <mergeCell ref="CS626:CW626"/>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24:DB624"/>
    <mergeCell ref="CX625:DB625"/>
    <mergeCell ref="BN600:BR600"/>
    <mergeCell ref="BN601:BR601"/>
    <mergeCell ref="BN602:BR602"/>
    <mergeCell ref="BN603:BR603"/>
    <mergeCell ref="BN604:BR604"/>
    <mergeCell ref="BN605:BR605"/>
    <mergeCell ref="BN606:BR606"/>
    <mergeCell ref="BN607:BR607"/>
    <mergeCell ref="BN608:BR608"/>
    <mergeCell ref="BN609:BR609"/>
    <mergeCell ref="BN610:BR610"/>
    <mergeCell ref="BN611:BR611"/>
    <mergeCell ref="BN612:BR612"/>
    <mergeCell ref="BN613:BR613"/>
    <mergeCell ref="BN614:BR614"/>
    <mergeCell ref="BN615:BR615"/>
    <mergeCell ref="BN616:BR616"/>
    <mergeCell ref="CS613:CW613"/>
    <mergeCell ref="CS614:CW614"/>
    <mergeCell ref="CS615:CW615"/>
    <mergeCell ref="CS616:CW616"/>
    <mergeCell ref="CS617:CW617"/>
    <mergeCell ref="CS618:CW618"/>
    <mergeCell ref="CS619:CW619"/>
    <mergeCell ref="CS620:CW620"/>
    <mergeCell ref="CS621:CW621"/>
    <mergeCell ref="CS622:CW622"/>
    <mergeCell ref="CS623:CW623"/>
    <mergeCell ref="CS624:CW624"/>
    <mergeCell ref="CS625:CW625"/>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BS616:BW616"/>
    <mergeCell ref="BX616:CB616"/>
    <mergeCell ref="CC616:CG616"/>
    <mergeCell ref="CH616:CL616"/>
    <mergeCell ref="CH601:CL601"/>
    <mergeCell ref="CM601:CQ601"/>
    <mergeCell ref="BS602:BW602"/>
    <mergeCell ref="BX602:CB602"/>
    <mergeCell ref="CC602:CG602"/>
    <mergeCell ref="CH602:CL602"/>
    <mergeCell ref="CM602:CQ602"/>
    <mergeCell ref="BS603:BW603"/>
    <mergeCell ref="BX603:CB603"/>
    <mergeCell ref="CC603:CG603"/>
    <mergeCell ref="CH603:CL603"/>
    <mergeCell ref="CM603:CQ603"/>
    <mergeCell ref="BS604:BW604"/>
    <mergeCell ref="BX604:CB604"/>
    <mergeCell ref="CC604:CG604"/>
    <mergeCell ref="CH604:CL604"/>
    <mergeCell ref="CM604:CQ604"/>
    <mergeCell ref="BS605:BW605"/>
    <mergeCell ref="BX605:CB605"/>
    <mergeCell ref="CC605:CG605"/>
    <mergeCell ref="CH605:CL605"/>
    <mergeCell ref="CM605:CQ605"/>
    <mergeCell ref="BS606:BW606"/>
    <mergeCell ref="BX606:CB606"/>
    <mergeCell ref="CC606:CG606"/>
    <mergeCell ref="CH606:CL606"/>
    <mergeCell ref="CM606:CQ606"/>
    <mergeCell ref="BS607:BW607"/>
    <mergeCell ref="BX607:CB607"/>
    <mergeCell ref="CC607:CG607"/>
    <mergeCell ref="CH607:CL607"/>
    <mergeCell ref="CM607:CQ607"/>
    <mergeCell ref="BS608:BW608"/>
    <mergeCell ref="BX608:CB608"/>
    <mergeCell ref="CC608:CG608"/>
    <mergeCell ref="CH608:CL608"/>
    <mergeCell ref="CM608:CQ608"/>
    <mergeCell ref="BS609:BW609"/>
    <mergeCell ref="BX609:CB609"/>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BS612:BW612"/>
    <mergeCell ref="BX612:CB612"/>
    <mergeCell ref="CC612:CG612"/>
    <mergeCell ref="CH612:CL612"/>
    <mergeCell ref="CM612:CQ612"/>
    <mergeCell ref="CM616:CQ616"/>
    <mergeCell ref="BN632:BR632"/>
    <mergeCell ref="CM632:CQ632"/>
    <mergeCell ref="CH632:CL632"/>
    <mergeCell ref="CC632:CG632"/>
    <mergeCell ref="BX632:CB632"/>
    <mergeCell ref="CC629:CG629"/>
    <mergeCell ref="CC630:CG630"/>
    <mergeCell ref="CC631:CG631"/>
    <mergeCell ref="BS625:BW625"/>
    <mergeCell ref="BX625:CB625"/>
    <mergeCell ref="CC625:CG625"/>
    <mergeCell ref="CH625:CL625"/>
    <mergeCell ref="CM625:CQ625"/>
    <mergeCell ref="CH628:CL628"/>
    <mergeCell ref="CH629:CL629"/>
    <mergeCell ref="CH630:CL630"/>
    <mergeCell ref="CM617:CQ617"/>
    <mergeCell ref="BS618:BW618"/>
    <mergeCell ref="BX618:CB618"/>
    <mergeCell ref="CC618:CG618"/>
    <mergeCell ref="CH618:CL618"/>
    <mergeCell ref="CM618:CQ618"/>
    <mergeCell ref="BS619:BW619"/>
    <mergeCell ref="BX619:CB619"/>
    <mergeCell ref="CC619:CG619"/>
    <mergeCell ref="CH619:CL619"/>
    <mergeCell ref="CM619:CQ619"/>
    <mergeCell ref="BS620:BW620"/>
    <mergeCell ref="BX620:CB620"/>
    <mergeCell ref="CC620:CG620"/>
    <mergeCell ref="CH620:CL620"/>
    <mergeCell ref="CM620:CQ620"/>
    <mergeCell ref="CC634:CG634"/>
    <mergeCell ref="CH634:CL634"/>
    <mergeCell ref="CM634:CQ634"/>
    <mergeCell ref="CM631:CQ631"/>
    <mergeCell ref="CH631:CL631"/>
    <mergeCell ref="CM628:CQ628"/>
    <mergeCell ref="CM629:CQ629"/>
    <mergeCell ref="CM630:CQ630"/>
    <mergeCell ref="BS632:BW632"/>
    <mergeCell ref="BS628:BW628"/>
    <mergeCell ref="BS629:BW629"/>
    <mergeCell ref="BS630:BW630"/>
    <mergeCell ref="BS631:BW631"/>
    <mergeCell ref="BX628:CB628"/>
    <mergeCell ref="BX629:CB629"/>
    <mergeCell ref="BX630:CB630"/>
    <mergeCell ref="BX631:CB631"/>
    <mergeCell ref="CC628:CG628"/>
    <mergeCell ref="CM621:CQ621"/>
    <mergeCell ref="CM622:CQ622"/>
    <mergeCell ref="CM623:CQ623"/>
    <mergeCell ref="BX624:CB624"/>
    <mergeCell ref="CC624:CG624"/>
    <mergeCell ref="CH624:CL624"/>
    <mergeCell ref="CM624:CQ624"/>
    <mergeCell ref="BN634:BR634"/>
    <mergeCell ref="BS634:BW634"/>
    <mergeCell ref="BX634:CB634"/>
    <mergeCell ref="BS617:BW617"/>
    <mergeCell ref="BX617:CB617"/>
    <mergeCell ref="CC617:CG617"/>
    <mergeCell ref="CH617:CL617"/>
    <mergeCell ref="BN625:BR625"/>
    <mergeCell ref="BN628:BR628"/>
    <mergeCell ref="BN629:BR629"/>
    <mergeCell ref="BN630:BR630"/>
    <mergeCell ref="BN631:BR631"/>
    <mergeCell ref="BN617:BR617"/>
    <mergeCell ref="BN618:BR618"/>
    <mergeCell ref="BN619:BR619"/>
    <mergeCell ref="BN620:BR620"/>
    <mergeCell ref="BN621:BR621"/>
    <mergeCell ref="BN622:BR622"/>
    <mergeCell ref="BN623:BR623"/>
    <mergeCell ref="BS621:BW621"/>
    <mergeCell ref="BX621:CB621"/>
    <mergeCell ref="CC621:CG621"/>
    <mergeCell ref="CH621:CL621"/>
    <mergeCell ref="BS622:BW622"/>
    <mergeCell ref="BX622:CB622"/>
    <mergeCell ref="CC622:CG622"/>
    <mergeCell ref="CH622:CL622"/>
    <mergeCell ref="BS623:BW623"/>
    <mergeCell ref="BX623:CB623"/>
    <mergeCell ref="CC623:CG623"/>
    <mergeCell ref="CH623:CL623"/>
    <mergeCell ref="BS624:BW624"/>
    <mergeCell ref="BN635:BR635"/>
    <mergeCell ref="BS635:BW635"/>
    <mergeCell ref="BX635:CB635"/>
    <mergeCell ref="CC635:CG635"/>
    <mergeCell ref="CH635:CL635"/>
    <mergeCell ref="CM635:CQ635"/>
    <mergeCell ref="BN636:BR636"/>
    <mergeCell ref="BS636:BW636"/>
    <mergeCell ref="BX636:CB636"/>
    <mergeCell ref="CC636:CG636"/>
    <mergeCell ref="CH636:CL636"/>
    <mergeCell ref="CM636:CQ636"/>
    <mergeCell ref="BN637:BR637"/>
    <mergeCell ref="BS637:BW637"/>
    <mergeCell ref="BX637:CB637"/>
    <mergeCell ref="CC637:CG637"/>
    <mergeCell ref="CH637:CL637"/>
    <mergeCell ref="CM637:CQ637"/>
    <mergeCell ref="BN640:BR640"/>
    <mergeCell ref="BS640:BW640"/>
    <mergeCell ref="BX640:CB640"/>
    <mergeCell ref="CC640:CG640"/>
    <mergeCell ref="CH640:CL640"/>
    <mergeCell ref="CM640:CQ640"/>
    <mergeCell ref="BN638:BR638"/>
    <mergeCell ref="BS641:BW641"/>
    <mergeCell ref="BX641:CB641"/>
    <mergeCell ref="CC641:CG641"/>
    <mergeCell ref="CH641:CL641"/>
    <mergeCell ref="CM641:CQ641"/>
    <mergeCell ref="BN642:BR642"/>
    <mergeCell ref="BS642:BW642"/>
    <mergeCell ref="BX642:CB642"/>
    <mergeCell ref="CC642:CG642"/>
    <mergeCell ref="CH642:CL642"/>
    <mergeCell ref="CM642:CQ642"/>
    <mergeCell ref="BS638:BW638"/>
    <mergeCell ref="BX638:CB638"/>
    <mergeCell ref="CC638:CG638"/>
    <mergeCell ref="CH638:CL638"/>
    <mergeCell ref="CM638:CQ638"/>
    <mergeCell ref="BN639:BR639"/>
    <mergeCell ref="BS639:BW639"/>
    <mergeCell ref="BX639:CB639"/>
    <mergeCell ref="CC639:CG639"/>
    <mergeCell ref="CH639:CL639"/>
    <mergeCell ref="CM639:CQ639"/>
    <mergeCell ref="BN643:BR643"/>
    <mergeCell ref="BS643:BW643"/>
    <mergeCell ref="BX643:CB643"/>
    <mergeCell ref="CC643:CG643"/>
    <mergeCell ref="CH643:CL643"/>
    <mergeCell ref="CM643:CQ643"/>
    <mergeCell ref="BN641:BR641"/>
    <mergeCell ref="BN644:BR644"/>
    <mergeCell ref="BS644:BW644"/>
    <mergeCell ref="BX644:CB644"/>
    <mergeCell ref="CC644:CG644"/>
    <mergeCell ref="CH644:CL644"/>
    <mergeCell ref="CM644:CQ644"/>
    <mergeCell ref="BN650:BR650"/>
    <mergeCell ref="BS650:BW650"/>
    <mergeCell ref="BX650:CB650"/>
    <mergeCell ref="CC650:CG650"/>
    <mergeCell ref="CH650:CL650"/>
    <mergeCell ref="CM650:CQ650"/>
    <mergeCell ref="AO627:AS629"/>
    <mergeCell ref="C630:N630"/>
    <mergeCell ref="O630:Q630"/>
    <mergeCell ref="R630:T630"/>
    <mergeCell ref="U630:W630"/>
    <mergeCell ref="X630:AB630"/>
    <mergeCell ref="AC630:AE630"/>
    <mergeCell ref="AF630:AJ630"/>
    <mergeCell ref="AK630:AN630"/>
    <mergeCell ref="AO630:AS630"/>
    <mergeCell ref="C631:N631"/>
    <mergeCell ref="O631:Q631"/>
    <mergeCell ref="C632:N632"/>
    <mergeCell ref="O632:Q632"/>
    <mergeCell ref="R632:T632"/>
    <mergeCell ref="U632:W632"/>
    <mergeCell ref="X632:AB632"/>
    <mergeCell ref="AC632:AE632"/>
    <mergeCell ref="AF632:AJ632"/>
    <mergeCell ref="AK632:AN632"/>
    <mergeCell ref="AO632:AS632"/>
    <mergeCell ref="AO633:AS633"/>
    <mergeCell ref="C634:N634"/>
    <mergeCell ref="O634:Q634"/>
    <mergeCell ref="R634:T634"/>
    <mergeCell ref="U634:W634"/>
    <mergeCell ref="X634:AB634"/>
    <mergeCell ref="AC634:AE634"/>
    <mergeCell ref="AF634:AJ634"/>
    <mergeCell ref="AK634:AN634"/>
    <mergeCell ref="AO634:AS634"/>
    <mergeCell ref="C635:N635"/>
    <mergeCell ref="O635:Q635"/>
    <mergeCell ref="R635:T635"/>
    <mergeCell ref="U635:W635"/>
    <mergeCell ref="X635:AB635"/>
    <mergeCell ref="AC635:AE635"/>
    <mergeCell ref="AF635:AJ635"/>
    <mergeCell ref="AK635:AN635"/>
    <mergeCell ref="AO635:AS635"/>
    <mergeCell ref="AK636:AN636"/>
    <mergeCell ref="AO636:AS636"/>
    <mergeCell ref="C637:N637"/>
    <mergeCell ref="O637:Q637"/>
    <mergeCell ref="R637:T637"/>
    <mergeCell ref="U637:W637"/>
    <mergeCell ref="X637:AB637"/>
    <mergeCell ref="AC637:AE637"/>
    <mergeCell ref="AF637:AJ637"/>
    <mergeCell ref="AK637:AN637"/>
    <mergeCell ref="AO637:AS637"/>
    <mergeCell ref="C638:N638"/>
    <mergeCell ref="O638:Q638"/>
    <mergeCell ref="R638:T638"/>
    <mergeCell ref="U638:W638"/>
    <mergeCell ref="X638:AB638"/>
    <mergeCell ref="AC638:AE638"/>
    <mergeCell ref="AF638:AJ638"/>
    <mergeCell ref="AK638:AN638"/>
    <mergeCell ref="AO638:AS638"/>
    <mergeCell ref="C639:N639"/>
    <mergeCell ref="O639:Q639"/>
    <mergeCell ref="R639:T639"/>
    <mergeCell ref="U639:W639"/>
    <mergeCell ref="X639:AB639"/>
    <mergeCell ref="AC639:AE639"/>
    <mergeCell ref="AF639:AJ639"/>
    <mergeCell ref="AK639:AN639"/>
    <mergeCell ref="AO639:AS639"/>
    <mergeCell ref="C640:N640"/>
    <mergeCell ref="O640:Q640"/>
    <mergeCell ref="R640:T640"/>
    <mergeCell ref="U640:W640"/>
    <mergeCell ref="X640:AB640"/>
    <mergeCell ref="AC640:AE640"/>
    <mergeCell ref="AF640:AJ640"/>
    <mergeCell ref="AK640:AN640"/>
    <mergeCell ref="AO640:AS640"/>
    <mergeCell ref="C641:N641"/>
    <mergeCell ref="O641:Q641"/>
    <mergeCell ref="R641:T641"/>
    <mergeCell ref="U641:W641"/>
    <mergeCell ref="X641:AB641"/>
    <mergeCell ref="AC641:AE641"/>
    <mergeCell ref="AF641:AJ641"/>
    <mergeCell ref="AK641:AN641"/>
    <mergeCell ref="AO641:AS641"/>
    <mergeCell ref="AO644:AS644"/>
    <mergeCell ref="K700:N703"/>
    <mergeCell ref="O700:S703"/>
    <mergeCell ref="T700:X703"/>
    <mergeCell ref="Y700:AB703"/>
    <mergeCell ref="AC700:AG703"/>
    <mergeCell ref="AH700:AL703"/>
    <mergeCell ref="AM700:AO703"/>
    <mergeCell ref="G657:R657"/>
    <mergeCell ref="G682:L682"/>
    <mergeCell ref="N652:O652"/>
    <mergeCell ref="H651:R651"/>
    <mergeCell ref="G655:R655"/>
    <mergeCell ref="G656:R656"/>
    <mergeCell ref="G650:L650"/>
    <mergeCell ref="G673:R673"/>
    <mergeCell ref="AA651:AK651"/>
    <mergeCell ref="G678:R678"/>
    <mergeCell ref="Z673:AK673"/>
    <mergeCell ref="N676:O676"/>
    <mergeCell ref="Z671:AK671"/>
    <mergeCell ref="G672:R672"/>
    <mergeCell ref="AG652:AH652"/>
    <mergeCell ref="P658:R658"/>
    <mergeCell ref="N660:O660"/>
    <mergeCell ref="AA659:AK659"/>
    <mergeCell ref="Z658:AE658"/>
    <mergeCell ref="AI658:AK658"/>
    <mergeCell ref="AI674:AK674"/>
    <mergeCell ref="Z670:AK670"/>
    <mergeCell ref="Z666:AE666"/>
    <mergeCell ref="AM704:AO704"/>
    <mergeCell ref="K705:N705"/>
    <mergeCell ref="O705:S705"/>
    <mergeCell ref="T705:X705"/>
    <mergeCell ref="Y705:AB705"/>
    <mergeCell ref="AC705:AG705"/>
    <mergeCell ref="AH705:AL705"/>
    <mergeCell ref="AM705:AO705"/>
    <mergeCell ref="A695:AO697"/>
    <mergeCell ref="G704:J704"/>
    <mergeCell ref="AG684:AH684"/>
    <mergeCell ref="H691:R691"/>
    <mergeCell ref="N692:O692"/>
    <mergeCell ref="G689:R689"/>
    <mergeCell ref="AG668:AH668"/>
    <mergeCell ref="N684:O684"/>
    <mergeCell ref="Z664:AK664"/>
    <mergeCell ref="AI666:AK666"/>
    <mergeCell ref="P674:R674"/>
    <mergeCell ref="Z687:AK687"/>
    <mergeCell ref="P690:R690"/>
    <mergeCell ref="H683:R683"/>
    <mergeCell ref="Z686:AK686"/>
    <mergeCell ref="G686:R686"/>
    <mergeCell ref="AM706:AO706"/>
    <mergeCell ref="K707:N707"/>
    <mergeCell ref="O707:S707"/>
    <mergeCell ref="T707:X707"/>
    <mergeCell ref="Y707:AB707"/>
    <mergeCell ref="AC707:AG707"/>
    <mergeCell ref="AH707:AL707"/>
    <mergeCell ref="AM707:AO707"/>
    <mergeCell ref="K708:N708"/>
    <mergeCell ref="O708:S708"/>
    <mergeCell ref="T708:X708"/>
    <mergeCell ref="Y708:AB708"/>
    <mergeCell ref="AC708:AG708"/>
    <mergeCell ref="AH708:AL708"/>
    <mergeCell ref="AM708:AO708"/>
    <mergeCell ref="K709:N709"/>
    <mergeCell ref="O709:S709"/>
    <mergeCell ref="T709:X709"/>
    <mergeCell ref="Y709:AB709"/>
    <mergeCell ref="AC709:AG709"/>
    <mergeCell ref="AH709:AL709"/>
    <mergeCell ref="AM709:AO709"/>
    <mergeCell ref="AM710:AO710"/>
    <mergeCell ref="K711:N711"/>
    <mergeCell ref="O711:S711"/>
    <mergeCell ref="T711:X711"/>
    <mergeCell ref="Y711:AB711"/>
    <mergeCell ref="AC711:AG711"/>
    <mergeCell ref="AH711:AL711"/>
    <mergeCell ref="AM711:AO711"/>
    <mergeCell ref="AM712:AO712"/>
    <mergeCell ref="K713:N713"/>
    <mergeCell ref="O713:S713"/>
    <mergeCell ref="T713:X713"/>
    <mergeCell ref="Y713:AB713"/>
    <mergeCell ref="AC713:AG713"/>
    <mergeCell ref="AH713:AL713"/>
    <mergeCell ref="AM713:AO713"/>
    <mergeCell ref="K714:N714"/>
    <mergeCell ref="O714:S714"/>
    <mergeCell ref="T714:X714"/>
    <mergeCell ref="Y714:AB714"/>
    <mergeCell ref="AC714:AG714"/>
    <mergeCell ref="AH714:AL714"/>
    <mergeCell ref="AM714:AO714"/>
    <mergeCell ref="O715:S715"/>
    <mergeCell ref="T715:X715"/>
    <mergeCell ref="Y715:AB715"/>
    <mergeCell ref="AC715:AG715"/>
    <mergeCell ref="AH715:AL715"/>
    <mergeCell ref="AM715:AO715"/>
    <mergeCell ref="K712:N712"/>
    <mergeCell ref="O712:S712"/>
    <mergeCell ref="T712:X712"/>
    <mergeCell ref="Y712:AB712"/>
    <mergeCell ref="AC712:AG712"/>
    <mergeCell ref="AH712:AL712"/>
    <mergeCell ref="AM716:AO716"/>
    <mergeCell ref="K717:N717"/>
    <mergeCell ref="O717:S717"/>
    <mergeCell ref="T717:X717"/>
    <mergeCell ref="Y717:AB717"/>
    <mergeCell ref="AC717:AG717"/>
    <mergeCell ref="AH717:AL717"/>
    <mergeCell ref="AM717:AO717"/>
    <mergeCell ref="K718:N718"/>
    <mergeCell ref="O718:S718"/>
    <mergeCell ref="T718:X718"/>
    <mergeCell ref="Y718:AB718"/>
    <mergeCell ref="AC718:AG718"/>
    <mergeCell ref="AH718:AL718"/>
    <mergeCell ref="AM718:AO718"/>
    <mergeCell ref="K719:N719"/>
    <mergeCell ref="O719:S719"/>
    <mergeCell ref="T719:X719"/>
    <mergeCell ref="Y719:AB719"/>
    <mergeCell ref="AC719:AG719"/>
    <mergeCell ref="AH719:AL719"/>
    <mergeCell ref="AM719:AO719"/>
    <mergeCell ref="K716:N716"/>
    <mergeCell ref="O716:S716"/>
    <mergeCell ref="T716:X716"/>
    <mergeCell ref="Y716:AB716"/>
    <mergeCell ref="AM720:AO720"/>
    <mergeCell ref="K721:N721"/>
    <mergeCell ref="O721:S721"/>
    <mergeCell ref="T721:X721"/>
    <mergeCell ref="Y721:AB721"/>
    <mergeCell ref="AC721:AG721"/>
    <mergeCell ref="AH721:AL721"/>
    <mergeCell ref="AM721:AO721"/>
    <mergeCell ref="K722:N722"/>
    <mergeCell ref="O722:S722"/>
    <mergeCell ref="T722:X722"/>
    <mergeCell ref="Y722:AB722"/>
    <mergeCell ref="AC722:AG722"/>
    <mergeCell ref="AH722:AL722"/>
    <mergeCell ref="AM722:AO722"/>
    <mergeCell ref="K723:N723"/>
    <mergeCell ref="O723:S723"/>
    <mergeCell ref="T723:X723"/>
    <mergeCell ref="Y723:AB723"/>
    <mergeCell ref="AC723:AG723"/>
    <mergeCell ref="AH723:AL723"/>
    <mergeCell ref="AM723:AO723"/>
    <mergeCell ref="AM724:AO724"/>
    <mergeCell ref="K725:N725"/>
    <mergeCell ref="O725:S725"/>
    <mergeCell ref="T725:X725"/>
    <mergeCell ref="Y725:AB725"/>
    <mergeCell ref="AC725:AG725"/>
    <mergeCell ref="AH725:AL725"/>
    <mergeCell ref="AM725:AO725"/>
    <mergeCell ref="K726:N726"/>
    <mergeCell ref="O726:S726"/>
    <mergeCell ref="T726:X726"/>
    <mergeCell ref="Y726:AB726"/>
    <mergeCell ref="AC726:AG726"/>
    <mergeCell ref="AH726:AL726"/>
    <mergeCell ref="AM726:AO726"/>
    <mergeCell ref="K727:N727"/>
    <mergeCell ref="O727:S727"/>
    <mergeCell ref="T727:X727"/>
    <mergeCell ref="Y727:AB727"/>
    <mergeCell ref="AC727:AG727"/>
    <mergeCell ref="AH727:AL727"/>
    <mergeCell ref="AM727:AO727"/>
    <mergeCell ref="T724:X724"/>
    <mergeCell ref="Y724:AB724"/>
    <mergeCell ref="AC724:AG724"/>
    <mergeCell ref="AH724:AL724"/>
    <mergeCell ref="M803:P803"/>
    <mergeCell ref="AC765:AG765"/>
    <mergeCell ref="T766:W766"/>
    <mergeCell ref="X766:AB766"/>
    <mergeCell ref="AC766:AG766"/>
    <mergeCell ref="T767:W767"/>
    <mergeCell ref="X767:AB767"/>
    <mergeCell ref="AC767:AG767"/>
    <mergeCell ref="T768:W768"/>
    <mergeCell ref="X768:AB768"/>
    <mergeCell ref="AC768:AG768"/>
    <mergeCell ref="T769:W769"/>
    <mergeCell ref="X769:AB769"/>
    <mergeCell ref="AC769:AG769"/>
    <mergeCell ref="T764:W764"/>
    <mergeCell ref="T770:W770"/>
    <mergeCell ref="X770:AB770"/>
    <mergeCell ref="AC770:AG770"/>
    <mergeCell ref="J770:N770"/>
    <mergeCell ref="O770:S770"/>
    <mergeCell ref="Z875:AE875"/>
    <mergeCell ref="AG807:AJ807"/>
    <mergeCell ref="Z793:AE793"/>
    <mergeCell ref="Y803:AB803"/>
    <mergeCell ref="AA899:AF899"/>
    <mergeCell ref="U892:Z892"/>
    <mergeCell ref="AA896:AF896"/>
    <mergeCell ref="AJ944:AQ944"/>
    <mergeCell ref="U807:X807"/>
    <mergeCell ref="C801:H801"/>
    <mergeCell ref="AB945:AI945"/>
    <mergeCell ref="AJ945:AQ945"/>
    <mergeCell ref="D946:Q946"/>
    <mergeCell ref="R946:AA946"/>
    <mergeCell ref="AB946:AI946"/>
    <mergeCell ref="AJ946:AQ946"/>
    <mergeCell ref="T771:W771"/>
    <mergeCell ref="X771:AB771"/>
    <mergeCell ref="AC771:AG771"/>
    <mergeCell ref="T772:W772"/>
    <mergeCell ref="X772:AB772"/>
    <mergeCell ref="AC772:AG772"/>
    <mergeCell ref="T773:W773"/>
    <mergeCell ref="X773:AB773"/>
    <mergeCell ref="AC773:AG773"/>
    <mergeCell ref="AC774:AG774"/>
    <mergeCell ref="D944:Q944"/>
    <mergeCell ref="R944:AA944"/>
    <mergeCell ref="AB944:AI944"/>
    <mergeCell ref="AC868:AH868"/>
    <mergeCell ref="J771:N771"/>
    <mergeCell ref="O771:S771"/>
    <mergeCell ref="D947:Q947"/>
    <mergeCell ref="R947:AA947"/>
    <mergeCell ref="AB947:AI947"/>
    <mergeCell ref="AJ947:AQ947"/>
    <mergeCell ref="D948:Q948"/>
    <mergeCell ref="R948:AA948"/>
    <mergeCell ref="AB948:AI948"/>
    <mergeCell ref="AJ948:AQ948"/>
    <mergeCell ref="D949:Q949"/>
    <mergeCell ref="R949:AA949"/>
    <mergeCell ref="AB949:AI949"/>
    <mergeCell ref="AJ949:AQ949"/>
    <mergeCell ref="D1000:AI1000"/>
    <mergeCell ref="AJ1000:AQ1000"/>
    <mergeCell ref="D991:AE991"/>
    <mergeCell ref="AG991:AH991"/>
    <mergeCell ref="AJ991:AQ995"/>
    <mergeCell ref="D992:AE995"/>
    <mergeCell ref="D996:AE996"/>
    <mergeCell ref="AG996:AH996"/>
    <mergeCell ref="AJ996:AQ999"/>
    <mergeCell ref="D997:AE999"/>
    <mergeCell ref="D975:AE976"/>
    <mergeCell ref="AG975:AH975"/>
    <mergeCell ref="AJ975:AQ979"/>
    <mergeCell ref="AF976:AI979"/>
    <mergeCell ref="D977:AE978"/>
    <mergeCell ref="J979:AE979"/>
    <mergeCell ref="B950:AA950"/>
    <mergeCell ref="AB950:AI950"/>
    <mergeCell ref="AJ950:AQ950"/>
    <mergeCell ref="B951:AI951"/>
    <mergeCell ref="AJ951:AQ951"/>
    <mergeCell ref="B952:AE952"/>
    <mergeCell ref="AF952:AI952"/>
    <mergeCell ref="AJ952:AQ952"/>
    <mergeCell ref="D953:AE953"/>
    <mergeCell ref="AG953:AH953"/>
    <mergeCell ref="AJ953:AQ955"/>
    <mergeCell ref="D954:AE954"/>
    <mergeCell ref="D955:AE955"/>
    <mergeCell ref="D956:AE956"/>
    <mergeCell ref="AG956:AH956"/>
    <mergeCell ref="AJ956:AQ961"/>
    <mergeCell ref="D980:AE980"/>
    <mergeCell ref="AG980:AH980"/>
    <mergeCell ref="AJ980:AQ983"/>
    <mergeCell ref="D981:AE983"/>
    <mergeCell ref="AF981:AI983"/>
    <mergeCell ref="D984:AE984"/>
    <mergeCell ref="AG984:AH984"/>
    <mergeCell ref="AJ984:AQ986"/>
    <mergeCell ref="D985:AE986"/>
    <mergeCell ref="D987:AE987"/>
    <mergeCell ref="AG987:AH987"/>
    <mergeCell ref="AJ987:AQ990"/>
    <mergeCell ref="D988:AE990"/>
    <mergeCell ref="D962:AE962"/>
    <mergeCell ref="AG962:AH962"/>
    <mergeCell ref="AJ962:AQ965"/>
    <mergeCell ref="D963:AE965"/>
    <mergeCell ref="D966:AE966"/>
    <mergeCell ref="AG966:AH966"/>
    <mergeCell ref="AJ966:AQ967"/>
    <mergeCell ref="D967:AE967"/>
    <mergeCell ref="D968:AE968"/>
    <mergeCell ref="AG968:AH968"/>
    <mergeCell ref="AJ968:AQ970"/>
    <mergeCell ref="D969:AE970"/>
    <mergeCell ref="D971:AE971"/>
    <mergeCell ref="AG971:AH971"/>
    <mergeCell ref="AJ971:AQ974"/>
    <mergeCell ref="D972:AE974"/>
  </mergeCells>
  <phoneticPr fontId="0" type="noConversion"/>
  <conditionalFormatting sqref="AF988">
    <cfRule type="cellIs" dxfId="148" priority="2" stopIfTrue="1" operator="equal">
      <formula>"Please Enter Amount:"</formula>
    </cfRule>
  </conditionalFormatting>
  <conditionalFormatting sqref="B1011 B1009">
    <cfRule type="cellIs" dxfId="147" priority="7" stopIfTrue="1" operator="equal">
      <formula>#N/A</formula>
    </cfRule>
  </conditionalFormatting>
  <conditionalFormatting sqref="AG434:AJ434">
    <cfRule type="expression" dxfId="146" priority="9" stopIfTrue="1">
      <formula>"iserror(d31)"</formula>
    </cfRule>
  </conditionalFormatting>
  <conditionalFormatting sqref="AF976">
    <cfRule type="cellIs" dxfId="145" priority="3" stopIfTrue="1" operator="equal">
      <formula>"Please Enter Amount:"</formula>
    </cfRule>
  </conditionalFormatting>
  <conditionalFormatting sqref="AF981">
    <cfRule type="cellIs" dxfId="144" priority="1" stopIfTrue="1" operator="equal">
      <formula>"Please Enter Amount:"</formula>
    </cfRule>
  </conditionalFormatting>
  <dataValidations xWindow="329" yWindow="269" count="45">
    <dataValidation type="list" allowBlank="1" showInputMessage="1" showErrorMessage="1" sqref="S406:T406 A1049:B1049 A1034:B1034 AE418:AF418 AE422:AF422 R404:S405 A1053:B1053 A1045:B1045 A1016:B1016 A1022:B1022 A1028:B1028 A1037:B1037 A1042:B1042 M349:N352">
      <formula1>"N/A, Yes"</formula1>
    </dataValidation>
    <dataValidation type="list" allowBlank="1" showInputMessage="1" showErrorMessage="1" sqref="O934 AG684 N684 AG668 N668 N652 AG652 AG618 N618 AG602 N602 N586 AG586 AG578 N578 AG594 N594 N610 AG610 N660 AG660 N676 AG676 N692 AG692 U176 Y180 AI194 W198 T193:T197 Y211">
      <formula1>"Yes, No"</formula1>
    </dataValidation>
    <dataValidation type="list" allowBlank="1" showInputMessage="1" showErrorMessage="1" sqref="Q496 AG966 AG975 AG984 AG953 AG956 AG991 AG962 AG968 AG971 AG980 AG987 AG996">
      <formula1>"Yes,No"</formula1>
    </dataValidation>
    <dataValidation type="list" allowBlank="1" showInputMessage="1" showErrorMessage="1" sqref="J979">
      <formula1>"N/A,Seismic Upgrading, Environmental Mitigation"</formula1>
    </dataValidation>
    <dataValidation type="decimal" allowBlank="1" showInputMessage="1" showErrorMessage="1" error="example: enter 30 for 30%, hit cancel and try again._x000a_" sqref="AH704:AH728 AI706:AL728">
      <formula1>0</formula1>
      <formula2>1</formula2>
    </dataValidation>
    <dataValidation type="list" showInputMessage="1" showErrorMessage="1" sqref="J756:K756">
      <formula1>"No,Yes"</formula1>
    </dataValidation>
    <dataValidation type="list" showInputMessage="1" showErrorMessage="1" sqref="Z274:AD274">
      <formula1>"Nonprofit, For-Profit, N/A"</formula1>
    </dataValidation>
    <dataValidation type="list" showInputMessage="1" showErrorMessage="1" sqref="AC508:AF515 AC520:AF548">
      <formula1>"N/A,1,2,3,4,5,6,7,8,9,10,11,12"</formula1>
    </dataValidation>
    <dataValidation type="list" allowBlank="1" showInputMessage="1" showErrorMessage="1" sqref="Z425:AA425 Q422:R422 AI385:AJ385 AI382:AJ382 AI390:AJ390">
      <formula1>"No, Yes"</formula1>
    </dataValidation>
    <dataValidation type="list" showInputMessage="1" showErrorMessage="1" sqref="Z427:AA427 AE427">
      <formula1>$BE$361:$BE$363</formula1>
    </dataValidation>
    <dataValidation type="list" allowBlank="1" showInputMessage="1" showErrorMessage="1" sqref="O33:P33 AE423:AF423 J360:K360 Y358:Z358 N357:O357 AJ351:AK351 AJ349:AK349">
      <formula1>"N/A, Yes, No"</formula1>
    </dataValidation>
    <dataValidation type="list" allowBlank="1" showInputMessage="1" showErrorMessage="1" sqref="U892:U910">
      <formula1>"Yes, No,N/A"</formula1>
    </dataValidation>
    <dataValidation type="list" showInputMessage="1" showErrorMessage="1" sqref="J173:S173">
      <formula1>"Preliminary Reservation, Subsidy Layering, Readiness, Placed in Service, Re-Application"</formula1>
    </dataValidation>
    <dataValidation type="list" showInputMessage="1" showErrorMessage="1" sqref="D208:M208">
      <formula1>"(select one),20%/50%, 40%/60%, 40%/60% Average Income"</formula1>
    </dataValidation>
    <dataValidation showInputMessage="1" showErrorMessage="1" sqref="W270"/>
    <dataValidation type="list" allowBlank="1" showInputMessage="1" showErrorMessage="1" sqref="BA817:BB817">
      <formula1>$BA$595:$BA$596</formula1>
    </dataValidation>
    <dataValidation type="list" allowBlank="1" showInputMessage="1" showErrorMessage="1" sqref="M259:T259 M251:T251">
      <formula1>"(select one),Nonprofit, For Profit"</formula1>
    </dataValidation>
    <dataValidation type="list" allowBlank="1" showInputMessage="1" showErrorMessage="1" sqref="P906:T906 S394:U394">
      <formula1>"No,Yes"</formula1>
    </dataValidation>
    <dataValidation type="list" showInputMessage="1" showErrorMessage="1" sqref="M267:T267">
      <formula1>"(select one),Nonprofit, For Profit"</formula1>
    </dataValidation>
    <dataValidation type="list" allowBlank="1" showInputMessage="1" showErrorMessage="1" sqref="M932:S932">
      <formula1>"(select one),Project-based vouchers (PBVs),Project-based contract (PBC),RAD PBVs, RAD PBC"</formula1>
    </dataValidation>
    <dataValidation type="whole" allowBlank="1" showInputMessage="1" showErrorMessage="1" error="Please enter a number" sqref="AH199:AI200 O225:P227">
      <formula1>0</formula1>
      <formula2>999</formula2>
    </dataValidation>
    <dataValidation type="list" allowBlank="1" showInputMessage="1" showErrorMessage="1" sqref="M929:S929">
      <formula1>"N/A,IRP,Decoupled IRP"</formula1>
    </dataValidation>
    <dataValidation type="list" allowBlank="1" showInputMessage="1" showErrorMessage="1" sqref="AF245:AK245 AF253:AK253 AF261:AK261">
      <formula1>"(select one),Managing GP,Administrative GP"</formula1>
    </dataValidation>
    <dataValidation type="list" allowBlank="1" showInputMessage="1" showErrorMessage="1" sqref="AG372:AH373 V374:W375 AF731:AH731">
      <formula1>"N/A,Yes,No"</formula1>
    </dataValidation>
    <dataValidation type="whole" operator="greaterThanOrEqual" allowBlank="1" showInputMessage="1" showErrorMessage="1" sqref="Z789:AE789 AG387:AJ387">
      <formula1>0</formula1>
    </dataValidation>
    <dataValidation type="list" allowBlank="1" showInputMessage="1" showErrorMessage="1" sqref="I403:AD403">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17:S917 AE917:AK917">
      <formula1>"(select one),Project-based vouchers (PBVs),Project-based contract (PBC),RAD conversion - PBVs, RAD conversion - PBC"</formula1>
    </dataValidation>
    <dataValidation type="whole" allowBlank="1" showInputMessage="1" showErrorMessage="1" sqref="AG401:AJ401">
      <formula1>0</formula1>
      <formula2>AG388</formula2>
    </dataValidation>
    <dataValidation type="whole" allowBlank="1" showInputMessage="1" showErrorMessage="1" sqref="AG394:AJ394 AG388:AJ389">
      <formula1>0</formula1>
      <formula2>AG387</formula2>
    </dataValidation>
    <dataValidation type="whole" allowBlank="1" showInputMessage="1" showErrorMessage="1" sqref="AG390:AH390">
      <formula1>0</formula1>
      <formula2>AG388</formula2>
    </dataValidation>
    <dataValidation type="whole" allowBlank="1" showInputMessage="1" showErrorMessage="1" sqref="AG393:AJ393">
      <formula1>0</formula1>
      <formula2>AG388</formula2>
    </dataValidation>
    <dataValidation type="list" allowBlank="1" showInputMessage="1" showErrorMessage="1" sqref="S398:AJ398">
      <formula1>"(select),Secured by Leasehold Interest,Secured by Fee Interest,Secured by both Leasehold &amp; Fee Interests,Other"</formula1>
    </dataValidation>
    <dataValidation type="list" allowBlank="1" showInputMessage="1" showErrorMessage="1" sqref="S395:U395">
      <formula1>"N/A,No,Yes"</formula1>
    </dataValidation>
    <dataValidation type="list" allowBlank="1" showInputMessage="1" showErrorMessage="1" sqref="AC516:AF516">
      <formula1>"(select),Yes,No"</formula1>
    </dataValidation>
    <dataValidation type="list" allowBlank="1" showInputMessage="1" showErrorMessage="1" sqref="Z558:AD569">
      <formula1>"(select),Fixed,Variable,N/A"</formula1>
    </dataValidation>
    <dataValidation type="list" allowBlank="1" showInputMessage="1" showErrorMessage="1" sqref="X630:AB641">
      <formula1>$BA$630:$BA$634</formula1>
    </dataValidation>
    <dataValidation type="list" allowBlank="1" showInputMessage="1" showErrorMessage="1" sqref="B704:F728 J750:N753 J764:N773">
      <formula1>$AZ$600:$AZ$605</formula1>
    </dataValidation>
    <dataValidation type="list" allowBlank="1" showInputMessage="1" showErrorMessage="1" sqref="T189:AE189">
      <formula1>$BT$156:$BT$214</formula1>
    </dataValidation>
    <dataValidation type="list" showInputMessage="1" showErrorMessage="1" sqref="U174:V174">
      <formula1>$BJ$160:$BJ$162</formula1>
    </dataValidation>
    <dataValidation type="list" allowBlank="1" showInputMessage="1" showErrorMessage="1" sqref="E217:Z217">
      <formula1>$BH$189:$BH$193</formula1>
    </dataValidation>
    <dataValidation type="list" showInputMessage="1" showErrorMessage="1" sqref="D214:Z214">
      <formula1>$BC$189:$BC$194</formula1>
    </dataValidation>
    <dataValidation type="list" showInputMessage="1" showErrorMessage="1" sqref="D223:AI223">
      <formula1>$BC$197:$BC$209</formula1>
    </dataValidation>
    <dataValidation type="list" allowBlank="1" showInputMessage="1" showErrorMessage="1" sqref="M241:T241">
      <formula1>$BC$212:$BC$220</formula1>
    </dataValidation>
    <dataValidation type="list" allowBlank="1" showInputMessage="1" showErrorMessage="1" sqref="D272:H272">
      <formula1>$BB$244:$BB$246</formula1>
    </dataValidation>
    <dataValidation type="list" allowBlank="1" showInputMessage="1" showErrorMessage="1" sqref="D211:P211">
      <formula1>$AX$194:$AX$204</formula1>
    </dataValidation>
  </dataValidations>
  <hyperlinks>
    <hyperlink ref="U229" r:id="rId1"/>
    <hyperlink ref="D167" r:id="rId2" display="http://www.treasurer.ca.gov/ctcac/2019/lra/contact.pdf"/>
    <hyperlink ref="D167:Y167" r:id="rId3" display="https://www.treasurer.ca.gov/ctcac/2018/lra/contact.pdf"/>
  </hyperlinks>
  <printOptions horizontalCentered="1"/>
  <pageMargins left="0.5" right="0.5" top="1" bottom="1" header="0.5" footer="0.5"/>
  <pageSetup scale="79" fitToHeight="26" orientation="portrait" useFirstPageNumber="1"/>
  <headerFooter alignWithMargins="0">
    <oddFooter xml:space="preserve">&amp;L&amp;8
&amp;C&amp;P&amp;R&amp;8&amp;A </oddFooter>
  </headerFooter>
  <rowBreaks count="19" manualBreakCount="19">
    <brk id="61" max="16383" man="1"/>
    <brk id="154" max="16383" man="1"/>
    <brk id="168" max="16383" man="1"/>
    <brk id="225" max="16383" man="1"/>
    <brk id="283" max="16383" man="1"/>
    <brk id="345" max="16383" man="1"/>
    <brk id="416" max="16383" man="1"/>
    <brk id="473" max="16383" man="1"/>
    <brk id="504" max="16383" man="1"/>
    <brk id="550" max="16383" man="1"/>
    <brk id="612" max="16383" man="1"/>
    <brk id="620" max="16383" man="1"/>
    <brk id="678" max="16383" man="1"/>
    <brk id="695" max="16383" man="1"/>
    <brk id="758" max="16383" man="1"/>
    <brk id="816" max="16383" man="1"/>
    <brk id="879" max="16383" man="1"/>
    <brk id="935" max="16383" man="1"/>
    <brk id="989" max="16383" man="1"/>
  </rowBreaks>
  <drawing r:id="rId4"/>
  <legacyDrawing r:id="rId5"/>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U147"/>
  <sheetViews>
    <sheetView showGridLines="0" showZeros="0" zoomScale="110" zoomScaleNormal="110" zoomScaleSheetLayoutView="100" zoomScalePageLayoutView="110" workbookViewId="0">
      <pane xSplit="2" ySplit="3" topLeftCell="C85" activePane="bottomRight" state="frozen"/>
      <selection pane="topRight" activeCell="C1" sqref="C1"/>
      <selection pane="bottomLeft" activeCell="A4" sqref="A4"/>
      <selection pane="bottomRight" activeCell="C113" sqref="C113"/>
    </sheetView>
  </sheetViews>
  <sheetFormatPr defaultColWidth="8.88671875" defaultRowHeight="12" zeroHeight="1"/>
  <cols>
    <col min="1" max="1" width="32.44140625" style="767" customWidth="1"/>
    <col min="2" max="12" width="12.109375" style="765" customWidth="1"/>
    <col min="13" max="17" width="11.44140625" style="765" customWidth="1"/>
    <col min="18" max="18" width="12.44140625" style="765" customWidth="1"/>
    <col min="19" max="20" width="12.109375" style="765" customWidth="1"/>
    <col min="21" max="21" width="0.44140625" style="766" customWidth="1"/>
    <col min="22" max="16384" width="8.88671875" style="765"/>
  </cols>
  <sheetData>
    <row r="1" spans="1:21" s="312" customFormat="1" ht="13.8">
      <c r="A1" s="399" t="s">
        <v>146</v>
      </c>
      <c r="B1" s="352"/>
      <c r="C1" s="352"/>
      <c r="D1" s="352"/>
      <c r="E1" s="353"/>
      <c r="F1" s="2210" t="s">
        <v>201</v>
      </c>
      <c r="G1" s="2211"/>
      <c r="H1" s="2211"/>
      <c r="I1" s="2211"/>
      <c r="J1" s="2211"/>
      <c r="K1" s="2211"/>
      <c r="L1" s="2211"/>
      <c r="M1" s="2211"/>
      <c r="N1" s="2211"/>
      <c r="O1" s="2211"/>
      <c r="P1" s="2211"/>
      <c r="Q1" s="2211"/>
      <c r="R1" s="2212"/>
      <c r="S1" s="314"/>
      <c r="T1" s="313"/>
      <c r="U1" s="315"/>
    </row>
    <row r="2" spans="1:21" s="362" customFormat="1" ht="60" customHeight="1">
      <c r="A2" s="361"/>
      <c r="B2" s="362" t="s">
        <v>876</v>
      </c>
      <c r="C2" s="362" t="s">
        <v>565</v>
      </c>
      <c r="D2" s="432" t="s">
        <v>564</v>
      </c>
      <c r="E2" s="362" t="s">
        <v>877</v>
      </c>
      <c r="F2" s="363" t="str">
        <f>Application!B630&amp;Application!C630</f>
        <v>1)City of Fresno HOME Loan</v>
      </c>
      <c r="G2" s="363" t="str">
        <f>Application!B631&amp;Application!C631</f>
        <v>2)</v>
      </c>
      <c r="H2" s="363" t="str">
        <f>Application!B632&amp;Application!C632</f>
        <v>3)Fresno HA Loan</v>
      </c>
      <c r="I2" s="363" t="str">
        <f>Application!B633&amp;Application!C633</f>
        <v>4)HCD IIG (Sponsor Loan)</v>
      </c>
      <c r="J2" s="363" t="str">
        <f>Application!B634&amp;Application!C634</f>
        <v>5)NPLH Capital</v>
      </c>
      <c r="K2" s="363" t="str">
        <f>Application!B635&amp;Application!C635</f>
        <v>6)</v>
      </c>
      <c r="L2" s="363" t="str">
        <f>Application!B636&amp;Application!C636</f>
        <v>7)</v>
      </c>
      <c r="M2" s="363" t="str">
        <f>Application!B637&amp;Application!C637</f>
        <v>8)</v>
      </c>
      <c r="N2" s="363" t="str">
        <f>Application!B638&amp;Application!C638</f>
        <v>9)</v>
      </c>
      <c r="O2" s="363" t="str">
        <f>Application!B639&amp;Application!C639</f>
        <v>10)</v>
      </c>
      <c r="P2" s="363" t="str">
        <f>Application!B640&amp;Application!C640</f>
        <v>11)</v>
      </c>
      <c r="Q2" s="363" t="str">
        <f>Application!B641&amp;Application!C641</f>
        <v>12)</v>
      </c>
      <c r="R2" s="432" t="s">
        <v>598</v>
      </c>
      <c r="S2" s="362" t="s">
        <v>301</v>
      </c>
      <c r="T2" s="362" t="s">
        <v>878</v>
      </c>
      <c r="U2" s="364"/>
    </row>
    <row r="3" spans="1:21" s="368" customFormat="1" ht="11.4">
      <c r="A3" s="365" t="s">
        <v>381</v>
      </c>
      <c r="B3" s="366"/>
      <c r="C3" s="366"/>
      <c r="D3" s="366"/>
      <c r="E3" s="366"/>
      <c r="F3" s="366"/>
      <c r="G3" s="366"/>
      <c r="H3" s="366"/>
      <c r="I3" s="366"/>
      <c r="J3" s="366"/>
      <c r="K3" s="366"/>
      <c r="L3" s="366"/>
      <c r="M3" s="366"/>
      <c r="N3" s="366"/>
      <c r="O3" s="366"/>
      <c r="P3" s="366"/>
      <c r="Q3" s="366"/>
      <c r="R3" s="366"/>
      <c r="S3" s="366"/>
      <c r="T3" s="366"/>
      <c r="U3" s="367"/>
    </row>
    <row r="4" spans="1:21" s="368" customFormat="1" ht="13.2">
      <c r="A4" s="481" t="s">
        <v>74</v>
      </c>
      <c r="B4" s="370">
        <f>SUM(C4+D4)</f>
        <v>165590</v>
      </c>
      <c r="C4" s="371">
        <v>95100</v>
      </c>
      <c r="D4" s="371">
        <v>70490</v>
      </c>
      <c r="E4" s="371">
        <f>B4-SUM(F4:Q4)</f>
        <v>165590</v>
      </c>
      <c r="F4" s="371"/>
      <c r="G4" s="371"/>
      <c r="H4" s="371"/>
      <c r="I4" s="371"/>
      <c r="J4" s="371"/>
      <c r="K4" s="371"/>
      <c r="L4" s="371"/>
      <c r="M4" s="371"/>
      <c r="N4" s="371"/>
      <c r="O4" s="371"/>
      <c r="P4" s="371"/>
      <c r="Q4" s="371"/>
      <c r="R4" s="371">
        <f>SUM(E4:Q4)</f>
        <v>165590</v>
      </c>
      <c r="S4" s="372"/>
      <c r="T4" s="372"/>
      <c r="U4" s="367"/>
    </row>
    <row r="5" spans="1:21" s="368" customFormat="1" ht="13.2">
      <c r="A5" s="481" t="s">
        <v>75</v>
      </c>
      <c r="B5" s="370">
        <f>SUM(C5+D5)</f>
        <v>0</v>
      </c>
      <c r="C5" s="371"/>
      <c r="D5" s="371"/>
      <c r="E5" s="371">
        <f>B5-SUM(F5:Q5)</f>
        <v>0</v>
      </c>
      <c r="F5" s="371"/>
      <c r="G5" s="371"/>
      <c r="H5" s="371"/>
      <c r="I5" s="371"/>
      <c r="J5" s="371"/>
      <c r="K5" s="371"/>
      <c r="L5" s="371"/>
      <c r="M5" s="371"/>
      <c r="N5" s="371"/>
      <c r="O5" s="371"/>
      <c r="P5" s="371"/>
      <c r="Q5" s="371"/>
      <c r="R5" s="371">
        <f>SUM(E5:Q5)</f>
        <v>0</v>
      </c>
      <c r="S5" s="372"/>
      <c r="T5" s="372"/>
      <c r="U5" s="367"/>
    </row>
    <row r="6" spans="1:21" s="368" customFormat="1" ht="11.4">
      <c r="A6" s="369" t="s">
        <v>382</v>
      </c>
      <c r="B6" s="370">
        <f>SUM(C6+D6)</f>
        <v>10000</v>
      </c>
      <c r="C6" s="371">
        <v>9877</v>
      </c>
      <c r="D6" s="371">
        <v>123</v>
      </c>
      <c r="E6" s="371">
        <f>B6-SUM(F6:Q6)</f>
        <v>10000</v>
      </c>
      <c r="F6" s="371"/>
      <c r="G6" s="371"/>
      <c r="H6" s="371"/>
      <c r="I6" s="371"/>
      <c r="J6" s="371"/>
      <c r="K6" s="371"/>
      <c r="L6" s="371"/>
      <c r="M6" s="371"/>
      <c r="N6" s="371"/>
      <c r="O6" s="371"/>
      <c r="P6" s="371"/>
      <c r="Q6" s="371"/>
      <c r="R6" s="371">
        <f>SUM(E6:Q6)</f>
        <v>10000</v>
      </c>
      <c r="S6" s="372"/>
      <c r="T6" s="372"/>
      <c r="U6" s="367"/>
    </row>
    <row r="7" spans="1:21" s="368" customFormat="1" ht="11.4">
      <c r="A7" s="369" t="s">
        <v>310</v>
      </c>
      <c r="B7" s="370">
        <f>SUM(C7+D7)</f>
        <v>0</v>
      </c>
      <c r="C7" s="371"/>
      <c r="D7" s="371"/>
      <c r="E7" s="371">
        <f>B7-SUM(F7:Q7)</f>
        <v>0</v>
      </c>
      <c r="F7" s="371"/>
      <c r="G7" s="371"/>
      <c r="H7" s="371"/>
      <c r="I7" s="371"/>
      <c r="J7" s="371"/>
      <c r="K7" s="371"/>
      <c r="L7" s="371"/>
      <c r="M7" s="371"/>
      <c r="N7" s="371"/>
      <c r="O7" s="371"/>
      <c r="P7" s="371"/>
      <c r="Q7" s="371"/>
      <c r="R7" s="371">
        <f>SUM(E7:Q7)</f>
        <v>0</v>
      </c>
      <c r="S7" s="372"/>
      <c r="T7" s="372"/>
      <c r="U7" s="367"/>
    </row>
    <row r="8" spans="1:21" s="368" customFormat="1" ht="13.8">
      <c r="A8" s="482" t="s">
        <v>770</v>
      </c>
      <c r="B8" s="370">
        <f>SUM(C8:D8)</f>
        <v>175590</v>
      </c>
      <c r="C8" s="370">
        <f t="shared" ref="C8:R8" si="0">SUM(C4:C7)</f>
        <v>104977</v>
      </c>
      <c r="D8" s="370">
        <f t="shared" si="0"/>
        <v>70613</v>
      </c>
      <c r="E8" s="370">
        <f t="shared" si="0"/>
        <v>175590</v>
      </c>
      <c r="F8" s="370">
        <f t="shared" si="0"/>
        <v>0</v>
      </c>
      <c r="G8" s="370">
        <f t="shared" si="0"/>
        <v>0</v>
      </c>
      <c r="H8" s="370">
        <f t="shared" si="0"/>
        <v>0</v>
      </c>
      <c r="I8" s="370">
        <f t="shared" si="0"/>
        <v>0</v>
      </c>
      <c r="J8" s="370">
        <f t="shared" si="0"/>
        <v>0</v>
      </c>
      <c r="K8" s="370">
        <f t="shared" si="0"/>
        <v>0</v>
      </c>
      <c r="L8" s="370">
        <f t="shared" si="0"/>
        <v>0</v>
      </c>
      <c r="M8" s="370">
        <f t="shared" si="0"/>
        <v>0</v>
      </c>
      <c r="N8" s="370">
        <f t="shared" si="0"/>
        <v>0</v>
      </c>
      <c r="O8" s="370">
        <f t="shared" si="0"/>
        <v>0</v>
      </c>
      <c r="P8" s="370">
        <f t="shared" si="0"/>
        <v>0</v>
      </c>
      <c r="Q8" s="370">
        <f t="shared" si="0"/>
        <v>0</v>
      </c>
      <c r="R8" s="370">
        <f t="shared" si="0"/>
        <v>175590</v>
      </c>
      <c r="S8" s="372"/>
      <c r="T8" s="372"/>
      <c r="U8" s="367"/>
    </row>
    <row r="9" spans="1:21" s="368" customFormat="1" ht="11.4">
      <c r="A9" s="369" t="s">
        <v>1942</v>
      </c>
      <c r="B9" s="370">
        <f>SUM(C9+D9)</f>
        <v>976410</v>
      </c>
      <c r="C9" s="371">
        <v>560760</v>
      </c>
      <c r="D9" s="371">
        <v>415650</v>
      </c>
      <c r="E9" s="371">
        <f t="shared" ref="E9:E10" si="1">B9-SUM(F9:Q9)</f>
        <v>976410</v>
      </c>
      <c r="F9" s="371"/>
      <c r="G9" s="371"/>
      <c r="H9" s="371"/>
      <c r="I9" s="371"/>
      <c r="J9" s="371"/>
      <c r="K9" s="371"/>
      <c r="L9" s="371"/>
      <c r="M9" s="371"/>
      <c r="N9" s="371"/>
      <c r="O9" s="371"/>
      <c r="P9" s="371"/>
      <c r="Q9" s="371"/>
      <c r="R9" s="371">
        <f>SUM(E9:Q9)</f>
        <v>976410</v>
      </c>
      <c r="S9" s="372"/>
      <c r="T9" s="371"/>
      <c r="U9" s="367"/>
    </row>
    <row r="10" spans="1:21" s="368" customFormat="1" ht="13.2">
      <c r="A10" s="481" t="s">
        <v>76</v>
      </c>
      <c r="B10" s="370">
        <f>SUM(C10+D10)</f>
        <v>200000</v>
      </c>
      <c r="C10" s="371">
        <v>200000</v>
      </c>
      <c r="D10" s="371"/>
      <c r="E10" s="371">
        <f t="shared" si="1"/>
        <v>200000</v>
      </c>
      <c r="F10" s="371"/>
      <c r="G10" s="371"/>
      <c r="H10" s="371"/>
      <c r="I10" s="371"/>
      <c r="J10" s="371"/>
      <c r="K10" s="371"/>
      <c r="L10" s="371"/>
      <c r="M10" s="371"/>
      <c r="N10" s="371"/>
      <c r="O10" s="371"/>
      <c r="P10" s="371"/>
      <c r="Q10" s="371"/>
      <c r="R10" s="371">
        <f>SUM(E10:Q10)</f>
        <v>200000</v>
      </c>
      <c r="S10" s="371">
        <f>C10</f>
        <v>200000</v>
      </c>
      <c r="T10" s="371"/>
      <c r="U10" s="367"/>
    </row>
    <row r="11" spans="1:21" s="368" customFormat="1">
      <c r="A11" s="373" t="s">
        <v>646</v>
      </c>
      <c r="B11" s="370">
        <f>SUM(C11:D11)</f>
        <v>1176410</v>
      </c>
      <c r="C11" s="370">
        <f t="shared" ref="C11:T11" si="2">SUM(C9:C10)</f>
        <v>760760</v>
      </c>
      <c r="D11" s="370">
        <f t="shared" si="2"/>
        <v>415650</v>
      </c>
      <c r="E11" s="370">
        <f t="shared" si="2"/>
        <v>1176410</v>
      </c>
      <c r="F11" s="370">
        <f t="shared" si="2"/>
        <v>0</v>
      </c>
      <c r="G11" s="370">
        <f t="shared" si="2"/>
        <v>0</v>
      </c>
      <c r="H11" s="370">
        <f t="shared" si="2"/>
        <v>0</v>
      </c>
      <c r="I11" s="370">
        <f t="shared" si="2"/>
        <v>0</v>
      </c>
      <c r="J11" s="370">
        <f t="shared" si="2"/>
        <v>0</v>
      </c>
      <c r="K11" s="370">
        <f t="shared" si="2"/>
        <v>0</v>
      </c>
      <c r="L11" s="370">
        <f t="shared" si="2"/>
        <v>0</v>
      </c>
      <c r="M11" s="370">
        <f t="shared" si="2"/>
        <v>0</v>
      </c>
      <c r="N11" s="370">
        <f t="shared" si="2"/>
        <v>0</v>
      </c>
      <c r="O11" s="370">
        <f t="shared" si="2"/>
        <v>0</v>
      </c>
      <c r="P11" s="370">
        <f t="shared" si="2"/>
        <v>0</v>
      </c>
      <c r="Q11" s="370">
        <f t="shared" si="2"/>
        <v>0</v>
      </c>
      <c r="R11" s="370">
        <f t="shared" si="2"/>
        <v>1176410</v>
      </c>
      <c r="S11" s="372"/>
      <c r="T11" s="370">
        <f t="shared" si="2"/>
        <v>0</v>
      </c>
      <c r="U11" s="367"/>
    </row>
    <row r="12" spans="1:21" s="368" customFormat="1">
      <c r="A12" s="373" t="s">
        <v>778</v>
      </c>
      <c r="B12" s="370">
        <f t="shared" ref="B12:R12" si="3">SUM(B8+B11)</f>
        <v>1352000</v>
      </c>
      <c r="C12" s="370">
        <f t="shared" si="3"/>
        <v>865737</v>
      </c>
      <c r="D12" s="370">
        <f t="shared" si="3"/>
        <v>486263</v>
      </c>
      <c r="E12" s="370">
        <f t="shared" si="3"/>
        <v>1352000</v>
      </c>
      <c r="F12" s="370">
        <f t="shared" si="3"/>
        <v>0</v>
      </c>
      <c r="G12" s="370">
        <f t="shared" si="3"/>
        <v>0</v>
      </c>
      <c r="H12" s="370">
        <f t="shared" si="3"/>
        <v>0</v>
      </c>
      <c r="I12" s="370">
        <f t="shared" si="3"/>
        <v>0</v>
      </c>
      <c r="J12" s="370">
        <f t="shared" si="3"/>
        <v>0</v>
      </c>
      <c r="K12" s="370">
        <f t="shared" si="3"/>
        <v>0</v>
      </c>
      <c r="L12" s="370">
        <f t="shared" si="3"/>
        <v>0</v>
      </c>
      <c r="M12" s="370">
        <f t="shared" si="3"/>
        <v>0</v>
      </c>
      <c r="N12" s="370">
        <f t="shared" si="3"/>
        <v>0</v>
      </c>
      <c r="O12" s="370">
        <f t="shared" si="3"/>
        <v>0</v>
      </c>
      <c r="P12" s="370">
        <f t="shared" si="3"/>
        <v>0</v>
      </c>
      <c r="Q12" s="370">
        <f t="shared" si="3"/>
        <v>0</v>
      </c>
      <c r="R12" s="370">
        <f t="shared" si="3"/>
        <v>1352000</v>
      </c>
      <c r="S12" s="372"/>
      <c r="T12" s="372"/>
      <c r="U12" s="367"/>
    </row>
    <row r="13" spans="1:21" s="368" customFormat="1" ht="11.4">
      <c r="A13" s="721" t="s">
        <v>1229</v>
      </c>
      <c r="B13" s="370">
        <f>SUM(C13+D13)</f>
        <v>0</v>
      </c>
      <c r="C13" s="371"/>
      <c r="D13" s="371"/>
      <c r="E13" s="371">
        <f t="shared" ref="E13:E15" si="4">B13-SUM(F13:Q13)</f>
        <v>0</v>
      </c>
      <c r="F13" s="371"/>
      <c r="G13" s="371"/>
      <c r="H13" s="371"/>
      <c r="I13" s="371"/>
      <c r="J13" s="371"/>
      <c r="K13" s="371"/>
      <c r="L13" s="371"/>
      <c r="M13" s="371"/>
      <c r="N13" s="371"/>
      <c r="O13" s="371"/>
      <c r="P13" s="371"/>
      <c r="Q13" s="371"/>
      <c r="R13" s="371">
        <f>SUM(E13:Q13)</f>
        <v>0</v>
      </c>
      <c r="S13" s="371"/>
      <c r="T13" s="371"/>
      <c r="U13" s="367"/>
    </row>
    <row r="14" spans="1:21" s="368" customFormat="1" ht="22.8">
      <c r="A14" s="722" t="s">
        <v>1264</v>
      </c>
      <c r="B14" s="370">
        <f>SUM(C14+D14)</f>
        <v>0</v>
      </c>
      <c r="C14" s="371"/>
      <c r="D14" s="371"/>
      <c r="E14" s="371">
        <f t="shared" si="4"/>
        <v>0</v>
      </c>
      <c r="F14" s="371"/>
      <c r="G14" s="371"/>
      <c r="H14" s="371"/>
      <c r="I14" s="371"/>
      <c r="J14" s="371"/>
      <c r="K14" s="371"/>
      <c r="L14" s="371"/>
      <c r="M14" s="371"/>
      <c r="N14" s="371"/>
      <c r="O14" s="371"/>
      <c r="P14" s="371"/>
      <c r="Q14" s="371"/>
      <c r="R14" s="371">
        <f>SUM(E14:Q14)</f>
        <v>0</v>
      </c>
      <c r="S14" s="371"/>
      <c r="T14" s="371"/>
      <c r="U14" s="367"/>
    </row>
    <row r="15" spans="1:21" s="368" customFormat="1" ht="11.4">
      <c r="A15" s="722" t="s">
        <v>1898</v>
      </c>
      <c r="B15" s="370">
        <f>SUM(C15+D15)</f>
        <v>0</v>
      </c>
      <c r="C15" s="371"/>
      <c r="D15" s="371"/>
      <c r="E15" s="371">
        <f t="shared" si="4"/>
        <v>0</v>
      </c>
      <c r="F15" s="371"/>
      <c r="G15" s="371"/>
      <c r="H15" s="371"/>
      <c r="I15" s="371"/>
      <c r="J15" s="371"/>
      <c r="K15" s="371"/>
      <c r="L15" s="371"/>
      <c r="M15" s="371"/>
      <c r="N15" s="371"/>
      <c r="O15" s="371"/>
      <c r="P15" s="371"/>
      <c r="Q15" s="371"/>
      <c r="R15" s="371">
        <f>SUM(E15:Q15)</f>
        <v>0</v>
      </c>
      <c r="S15" s="372"/>
      <c r="T15" s="372"/>
      <c r="U15" s="367"/>
    </row>
    <row r="16" spans="1:21" s="368" customFormat="1" ht="11.4">
      <c r="A16" s="365" t="s">
        <v>1013</v>
      </c>
      <c r="B16" s="366"/>
      <c r="C16" s="366"/>
      <c r="D16" s="366"/>
      <c r="E16" s="375"/>
      <c r="F16" s="375"/>
      <c r="G16" s="375"/>
      <c r="H16" s="375"/>
      <c r="I16" s="375"/>
      <c r="J16" s="375"/>
      <c r="K16" s="375"/>
      <c r="L16" s="375"/>
      <c r="M16" s="375"/>
      <c r="N16" s="375"/>
      <c r="O16" s="375"/>
      <c r="P16" s="375"/>
      <c r="Q16" s="375"/>
      <c r="R16" s="375"/>
      <c r="S16" s="366"/>
      <c r="T16" s="366"/>
      <c r="U16" s="367"/>
    </row>
    <row r="17" spans="1:21" s="368" customFormat="1" ht="11.4">
      <c r="A17" s="369" t="s">
        <v>1014</v>
      </c>
      <c r="B17" s="370">
        <f t="shared" ref="B17:B27" si="5">SUM(C17:D17)</f>
        <v>0</v>
      </c>
      <c r="C17" s="371"/>
      <c r="D17" s="371"/>
      <c r="E17" s="371"/>
      <c r="F17" s="371"/>
      <c r="G17" s="371"/>
      <c r="H17" s="371"/>
      <c r="I17" s="371"/>
      <c r="J17" s="371"/>
      <c r="K17" s="371"/>
      <c r="L17" s="371"/>
      <c r="M17" s="371"/>
      <c r="N17" s="371"/>
      <c r="O17" s="371"/>
      <c r="P17" s="371"/>
      <c r="Q17" s="371"/>
      <c r="R17" s="371">
        <f>SUM(E17:Q17)</f>
        <v>0</v>
      </c>
      <c r="S17" s="371"/>
      <c r="T17" s="371"/>
      <c r="U17" s="367"/>
    </row>
    <row r="18" spans="1:21" s="368" customFormat="1" ht="11.4">
      <c r="A18" s="369" t="s">
        <v>1015</v>
      </c>
      <c r="B18" s="370">
        <f t="shared" si="5"/>
        <v>0</v>
      </c>
      <c r="C18" s="371"/>
      <c r="D18" s="371"/>
      <c r="E18" s="371"/>
      <c r="F18" s="371"/>
      <c r="G18" s="371"/>
      <c r="H18" s="371"/>
      <c r="I18" s="371"/>
      <c r="J18" s="371"/>
      <c r="K18" s="371"/>
      <c r="L18" s="371"/>
      <c r="M18" s="371"/>
      <c r="N18" s="371"/>
      <c r="O18" s="371"/>
      <c r="P18" s="371"/>
      <c r="Q18" s="371"/>
      <c r="R18" s="371">
        <f>SUM(E18:Q18)</f>
        <v>0</v>
      </c>
      <c r="S18" s="371"/>
      <c r="T18" s="371"/>
      <c r="U18" s="367"/>
    </row>
    <row r="19" spans="1:21" s="368" customFormat="1" ht="11.4">
      <c r="A19" s="369" t="s">
        <v>1016</v>
      </c>
      <c r="B19" s="370">
        <f t="shared" si="5"/>
        <v>0</v>
      </c>
      <c r="C19" s="371"/>
      <c r="D19" s="371"/>
      <c r="E19" s="371"/>
      <c r="F19" s="371"/>
      <c r="G19" s="371"/>
      <c r="H19" s="371"/>
      <c r="I19" s="371"/>
      <c r="J19" s="371"/>
      <c r="K19" s="371"/>
      <c r="L19" s="371"/>
      <c r="M19" s="371"/>
      <c r="N19" s="371"/>
      <c r="O19" s="371"/>
      <c r="P19" s="371"/>
      <c r="Q19" s="371"/>
      <c r="R19" s="371">
        <f>SUM(E19:Q19)</f>
        <v>0</v>
      </c>
      <c r="S19" s="371"/>
      <c r="T19" s="371"/>
      <c r="U19" s="367"/>
    </row>
    <row r="20" spans="1:21" s="368" customFormat="1" ht="11.4">
      <c r="A20" s="369" t="s">
        <v>1017</v>
      </c>
      <c r="B20" s="370">
        <f t="shared" si="5"/>
        <v>0</v>
      </c>
      <c r="C20" s="371"/>
      <c r="D20" s="371"/>
      <c r="E20" s="371"/>
      <c r="F20" s="371"/>
      <c r="G20" s="371"/>
      <c r="H20" s="371"/>
      <c r="I20" s="371"/>
      <c r="J20" s="371"/>
      <c r="K20" s="371"/>
      <c r="L20" s="371"/>
      <c r="M20" s="371"/>
      <c r="N20" s="371"/>
      <c r="O20" s="371"/>
      <c r="P20" s="371"/>
      <c r="Q20" s="371"/>
      <c r="R20" s="371">
        <f t="shared" ref="R20:R27" si="6">SUM(E20:Q20)</f>
        <v>0</v>
      </c>
      <c r="S20" s="371"/>
      <c r="T20" s="371"/>
      <c r="U20" s="367"/>
    </row>
    <row r="21" spans="1:21" s="368" customFormat="1" ht="11.4">
      <c r="A21" s="369" t="s">
        <v>1018</v>
      </c>
      <c r="B21" s="370">
        <f t="shared" si="5"/>
        <v>0</v>
      </c>
      <c r="C21" s="371"/>
      <c r="D21" s="371"/>
      <c r="E21" s="371"/>
      <c r="F21" s="371"/>
      <c r="G21" s="371"/>
      <c r="H21" s="371"/>
      <c r="I21" s="371"/>
      <c r="J21" s="371"/>
      <c r="K21" s="371"/>
      <c r="L21" s="371"/>
      <c r="M21" s="371"/>
      <c r="N21" s="371"/>
      <c r="O21" s="371"/>
      <c r="P21" s="371"/>
      <c r="Q21" s="371"/>
      <c r="R21" s="371">
        <f t="shared" si="6"/>
        <v>0</v>
      </c>
      <c r="S21" s="371"/>
      <c r="T21" s="371"/>
      <c r="U21" s="367"/>
    </row>
    <row r="22" spans="1:21" s="368" customFormat="1" ht="11.4">
      <c r="A22" s="369" t="s">
        <v>1019</v>
      </c>
      <c r="B22" s="370">
        <f t="shared" si="5"/>
        <v>0</v>
      </c>
      <c r="C22" s="371"/>
      <c r="D22" s="371"/>
      <c r="E22" s="371"/>
      <c r="F22" s="371"/>
      <c r="G22" s="371"/>
      <c r="H22" s="371"/>
      <c r="I22" s="371"/>
      <c r="J22" s="371"/>
      <c r="K22" s="371"/>
      <c r="L22" s="371"/>
      <c r="M22" s="371"/>
      <c r="N22" s="371"/>
      <c r="O22" s="371"/>
      <c r="P22" s="371"/>
      <c r="Q22" s="371"/>
      <c r="R22" s="371">
        <f t="shared" si="6"/>
        <v>0</v>
      </c>
      <c r="S22" s="371"/>
      <c r="T22" s="371"/>
      <c r="U22" s="367"/>
    </row>
    <row r="23" spans="1:21" s="368" customFormat="1" ht="11.4">
      <c r="A23" s="369" t="s">
        <v>1020</v>
      </c>
      <c r="B23" s="370">
        <f t="shared" si="5"/>
        <v>0</v>
      </c>
      <c r="C23" s="371"/>
      <c r="D23" s="371"/>
      <c r="E23" s="371"/>
      <c r="F23" s="371"/>
      <c r="G23" s="371"/>
      <c r="H23" s="371"/>
      <c r="I23" s="371"/>
      <c r="J23" s="371"/>
      <c r="K23" s="371"/>
      <c r="L23" s="371"/>
      <c r="M23" s="371"/>
      <c r="N23" s="371"/>
      <c r="O23" s="371"/>
      <c r="P23" s="371"/>
      <c r="Q23" s="371"/>
      <c r="R23" s="371">
        <f t="shared" si="6"/>
        <v>0</v>
      </c>
      <c r="S23" s="371"/>
      <c r="T23" s="371"/>
      <c r="U23" s="367"/>
    </row>
    <row r="24" spans="1:21" s="368" customFormat="1" ht="11.4">
      <c r="A24" s="380" t="s">
        <v>2247</v>
      </c>
      <c r="B24" s="370">
        <f t="shared" si="5"/>
        <v>0</v>
      </c>
      <c r="C24" s="371"/>
      <c r="D24" s="371"/>
      <c r="E24" s="371"/>
      <c r="F24" s="371"/>
      <c r="G24" s="371"/>
      <c r="H24" s="371"/>
      <c r="I24" s="371"/>
      <c r="J24" s="371"/>
      <c r="K24" s="371"/>
      <c r="L24" s="371"/>
      <c r="M24" s="371"/>
      <c r="N24" s="371"/>
      <c r="O24" s="371"/>
      <c r="P24" s="371"/>
      <c r="Q24" s="371"/>
      <c r="R24" s="371">
        <f t="shared" si="6"/>
        <v>0</v>
      </c>
      <c r="S24" s="371"/>
      <c r="T24" s="371"/>
      <c r="U24" s="367"/>
    </row>
    <row r="25" spans="1:21" s="368" customFormat="1" ht="11.4">
      <c r="A25" s="376" t="s">
        <v>592</v>
      </c>
      <c r="B25" s="370">
        <f t="shared" si="5"/>
        <v>0</v>
      </c>
      <c r="C25" s="371"/>
      <c r="D25" s="371"/>
      <c r="E25" s="371"/>
      <c r="F25" s="371"/>
      <c r="G25" s="371"/>
      <c r="H25" s="371"/>
      <c r="I25" s="371"/>
      <c r="J25" s="371"/>
      <c r="K25" s="371"/>
      <c r="L25" s="371"/>
      <c r="M25" s="371"/>
      <c r="N25" s="371"/>
      <c r="O25" s="371"/>
      <c r="P25" s="371"/>
      <c r="Q25" s="371"/>
      <c r="R25" s="371">
        <f t="shared" si="6"/>
        <v>0</v>
      </c>
      <c r="S25" s="371"/>
      <c r="T25" s="371"/>
      <c r="U25" s="367"/>
    </row>
    <row r="26" spans="1:21" s="368" customFormat="1">
      <c r="A26" s="373" t="s">
        <v>248</v>
      </c>
      <c r="B26" s="370">
        <f t="shared" si="5"/>
        <v>0</v>
      </c>
      <c r="C26" s="370">
        <f>SUM(C17:C25)</f>
        <v>0</v>
      </c>
      <c r="D26" s="370">
        <f>SUM(D17:D25)</f>
        <v>0</v>
      </c>
      <c r="E26" s="370">
        <f>SUM(E17:E25)</f>
        <v>0</v>
      </c>
      <c r="F26" s="370">
        <f t="shared" ref="F26:T26" si="7">SUM(F17:F25)</f>
        <v>0</v>
      </c>
      <c r="G26" s="370">
        <f t="shared" si="7"/>
        <v>0</v>
      </c>
      <c r="H26" s="370">
        <f t="shared" si="7"/>
        <v>0</v>
      </c>
      <c r="I26" s="370">
        <f t="shared" si="7"/>
        <v>0</v>
      </c>
      <c r="J26" s="370">
        <f t="shared" si="7"/>
        <v>0</v>
      </c>
      <c r="K26" s="370">
        <f t="shared" si="7"/>
        <v>0</v>
      </c>
      <c r="L26" s="370">
        <f t="shared" si="7"/>
        <v>0</v>
      </c>
      <c r="M26" s="370">
        <f t="shared" si="7"/>
        <v>0</v>
      </c>
      <c r="N26" s="370">
        <f t="shared" si="7"/>
        <v>0</v>
      </c>
      <c r="O26" s="370">
        <f t="shared" si="7"/>
        <v>0</v>
      </c>
      <c r="P26" s="370">
        <f t="shared" si="7"/>
        <v>0</v>
      </c>
      <c r="Q26" s="370">
        <f t="shared" si="7"/>
        <v>0</v>
      </c>
      <c r="R26" s="370">
        <f>SUM(R17:R25)</f>
        <v>0</v>
      </c>
      <c r="S26" s="374">
        <f t="shared" si="7"/>
        <v>0</v>
      </c>
      <c r="T26" s="374">
        <f t="shared" si="7"/>
        <v>0</v>
      </c>
      <c r="U26" s="367"/>
    </row>
    <row r="27" spans="1:21" s="368" customFormat="1">
      <c r="A27" s="373" t="s">
        <v>1021</v>
      </c>
      <c r="B27" s="370">
        <f t="shared" si="5"/>
        <v>40000</v>
      </c>
      <c r="C27" s="371">
        <v>39509</v>
      </c>
      <c r="D27" s="371">
        <v>491</v>
      </c>
      <c r="E27" s="371">
        <f t="shared" ref="E27" si="8">B27-SUM(F27:Q27)</f>
        <v>40000</v>
      </c>
      <c r="F27" s="371"/>
      <c r="G27" s="371"/>
      <c r="H27" s="371"/>
      <c r="I27" s="371"/>
      <c r="J27" s="371"/>
      <c r="K27" s="371"/>
      <c r="L27" s="371"/>
      <c r="M27" s="371"/>
      <c r="N27" s="371"/>
      <c r="O27" s="371"/>
      <c r="P27" s="371"/>
      <c r="Q27" s="371"/>
      <c r="R27" s="371">
        <f t="shared" si="6"/>
        <v>40000</v>
      </c>
      <c r="S27" s="371"/>
      <c r="T27" s="371"/>
      <c r="U27" s="367"/>
    </row>
    <row r="28" spans="1:21" s="368" customFormat="1" ht="11.4">
      <c r="A28" s="365" t="s">
        <v>1022</v>
      </c>
      <c r="B28" s="366"/>
      <c r="C28" s="366"/>
      <c r="D28" s="366"/>
      <c r="E28" s="375"/>
      <c r="F28" s="375"/>
      <c r="G28" s="375"/>
      <c r="H28" s="375"/>
      <c r="I28" s="375"/>
      <c r="J28" s="375"/>
      <c r="K28" s="375"/>
      <c r="L28" s="375"/>
      <c r="M28" s="375"/>
      <c r="N28" s="375"/>
      <c r="O28" s="375"/>
      <c r="P28" s="375"/>
      <c r="Q28" s="375"/>
      <c r="R28" s="375"/>
      <c r="S28" s="366"/>
      <c r="T28" s="366"/>
      <c r="U28" s="367"/>
    </row>
    <row r="29" spans="1:21" s="368" customFormat="1" ht="11.4">
      <c r="A29" s="369" t="s">
        <v>1014</v>
      </c>
      <c r="B29" s="370">
        <f t="shared" ref="B29:B38" si="9">SUM(C29+D29)</f>
        <v>0</v>
      </c>
      <c r="C29" s="371"/>
      <c r="D29" s="371"/>
      <c r="E29" s="371">
        <f t="shared" ref="E29:E37" si="10">B29-SUM(F29:Q29)</f>
        <v>0</v>
      </c>
      <c r="F29" s="371"/>
      <c r="G29" s="371"/>
      <c r="H29" s="371"/>
      <c r="I29" s="371"/>
      <c r="J29" s="371"/>
      <c r="K29" s="371"/>
      <c r="L29" s="371"/>
      <c r="M29" s="371"/>
      <c r="N29" s="371"/>
      <c r="O29" s="371"/>
      <c r="P29" s="371"/>
      <c r="Q29" s="371"/>
      <c r="R29" s="371">
        <f t="shared" ref="R29:R37" si="11">SUM(E29:Q29)</f>
        <v>0</v>
      </c>
      <c r="S29" s="371"/>
      <c r="T29" s="371"/>
      <c r="U29" s="367"/>
    </row>
    <row r="30" spans="1:21" s="368" customFormat="1" ht="11.4">
      <c r="A30" s="369" t="s">
        <v>1015</v>
      </c>
      <c r="B30" s="370">
        <f t="shared" si="9"/>
        <v>14285077</v>
      </c>
      <c r="C30" s="371">
        <v>14085077</v>
      </c>
      <c r="D30" s="371">
        <v>200000</v>
      </c>
      <c r="E30" s="371">
        <f t="shared" si="10"/>
        <v>6318580</v>
      </c>
      <c r="F30" s="371">
        <f>Application!AO630</f>
        <v>1633112</v>
      </c>
      <c r="G30" s="371"/>
      <c r="H30" s="371">
        <f>Application!AO632</f>
        <v>1000000</v>
      </c>
      <c r="I30" s="371">
        <f>Application!AO633</f>
        <v>1833700</v>
      </c>
      <c r="J30" s="371">
        <f>Application!AO634</f>
        <v>3499685</v>
      </c>
      <c r="K30" s="371"/>
      <c r="L30" s="371"/>
      <c r="M30" s="371"/>
      <c r="N30" s="371"/>
      <c r="O30" s="371"/>
      <c r="P30" s="371"/>
      <c r="Q30" s="371"/>
      <c r="R30" s="371">
        <f t="shared" si="11"/>
        <v>14285077</v>
      </c>
      <c r="S30" s="371">
        <f>C30</f>
        <v>14085077</v>
      </c>
      <c r="T30" s="371"/>
      <c r="U30" s="367"/>
    </row>
    <row r="31" spans="1:21" s="368" customFormat="1" ht="11.4">
      <c r="A31" s="369" t="s">
        <v>1016</v>
      </c>
      <c r="B31" s="370">
        <f t="shared" si="9"/>
        <v>782000</v>
      </c>
      <c r="C31" s="371">
        <v>772401</v>
      </c>
      <c r="D31" s="371">
        <v>9599</v>
      </c>
      <c r="E31" s="371">
        <f t="shared" si="10"/>
        <v>782000</v>
      </c>
      <c r="F31" s="371"/>
      <c r="G31" s="371"/>
      <c r="H31" s="371"/>
      <c r="I31" s="371"/>
      <c r="J31" s="371"/>
      <c r="K31" s="371"/>
      <c r="L31" s="371"/>
      <c r="M31" s="371"/>
      <c r="N31" s="371"/>
      <c r="O31" s="371"/>
      <c r="P31" s="371"/>
      <c r="Q31" s="371"/>
      <c r="R31" s="371">
        <f t="shared" si="11"/>
        <v>782000</v>
      </c>
      <c r="S31" s="371">
        <f t="shared" ref="S31:S37" si="12">C31</f>
        <v>772401</v>
      </c>
      <c r="T31" s="371"/>
      <c r="U31" s="367"/>
    </row>
    <row r="32" spans="1:21" s="368" customFormat="1" ht="11.4">
      <c r="A32" s="369" t="s">
        <v>1017</v>
      </c>
      <c r="B32" s="370">
        <f t="shared" si="9"/>
        <v>781883</v>
      </c>
      <c r="C32" s="371">
        <v>772286</v>
      </c>
      <c r="D32" s="371">
        <v>9597</v>
      </c>
      <c r="E32" s="371">
        <f t="shared" si="10"/>
        <v>781883</v>
      </c>
      <c r="F32" s="371"/>
      <c r="G32" s="371"/>
      <c r="H32" s="371"/>
      <c r="I32" s="371"/>
      <c r="J32" s="371"/>
      <c r="K32" s="371"/>
      <c r="L32" s="371"/>
      <c r="M32" s="371"/>
      <c r="N32" s="371"/>
      <c r="O32" s="371"/>
      <c r="P32" s="371"/>
      <c r="Q32" s="371"/>
      <c r="R32" s="371">
        <f t="shared" si="11"/>
        <v>781883</v>
      </c>
      <c r="S32" s="371">
        <f t="shared" si="12"/>
        <v>772286</v>
      </c>
      <c r="T32" s="371"/>
      <c r="U32" s="367"/>
    </row>
    <row r="33" spans="1:21" s="368" customFormat="1" ht="11.4">
      <c r="A33" s="369" t="s">
        <v>1018</v>
      </c>
      <c r="B33" s="370">
        <f t="shared" si="9"/>
        <v>0</v>
      </c>
      <c r="C33" s="371"/>
      <c r="D33" s="371"/>
      <c r="E33" s="371">
        <f t="shared" si="10"/>
        <v>0</v>
      </c>
      <c r="F33" s="371"/>
      <c r="G33" s="371"/>
      <c r="H33" s="371"/>
      <c r="I33" s="371"/>
      <c r="J33" s="371"/>
      <c r="K33" s="371"/>
      <c r="L33" s="371"/>
      <c r="M33" s="371"/>
      <c r="N33" s="371"/>
      <c r="O33" s="371"/>
      <c r="P33" s="371"/>
      <c r="Q33" s="371"/>
      <c r="R33" s="371">
        <f t="shared" si="11"/>
        <v>0</v>
      </c>
      <c r="S33" s="371">
        <f t="shared" si="12"/>
        <v>0</v>
      </c>
      <c r="T33" s="371"/>
      <c r="U33" s="367"/>
    </row>
    <row r="34" spans="1:21" s="368" customFormat="1" ht="11.4">
      <c r="A34" s="369" t="s">
        <v>1019</v>
      </c>
      <c r="B34" s="370">
        <f t="shared" si="9"/>
        <v>0</v>
      </c>
      <c r="C34" s="371"/>
      <c r="D34" s="371"/>
      <c r="E34" s="371">
        <f t="shared" si="10"/>
        <v>0</v>
      </c>
      <c r="F34" s="371"/>
      <c r="G34" s="371"/>
      <c r="H34" s="371"/>
      <c r="I34" s="371"/>
      <c r="J34" s="371"/>
      <c r="K34" s="371"/>
      <c r="L34" s="371"/>
      <c r="M34" s="371"/>
      <c r="N34" s="371"/>
      <c r="O34" s="371"/>
      <c r="P34" s="371"/>
      <c r="Q34" s="371"/>
      <c r="R34" s="371">
        <f t="shared" si="11"/>
        <v>0</v>
      </c>
      <c r="S34" s="371">
        <f t="shared" si="12"/>
        <v>0</v>
      </c>
      <c r="T34" s="371"/>
      <c r="U34" s="367"/>
    </row>
    <row r="35" spans="1:21" s="368" customFormat="1" ht="11.4">
      <c r="A35" s="369" t="s">
        <v>1020</v>
      </c>
      <c r="B35" s="370">
        <f t="shared" si="9"/>
        <v>0</v>
      </c>
      <c r="C35" s="371"/>
      <c r="D35" s="371"/>
      <c r="E35" s="371">
        <f t="shared" si="10"/>
        <v>0</v>
      </c>
      <c r="F35" s="371"/>
      <c r="G35" s="371"/>
      <c r="H35" s="371"/>
      <c r="I35" s="371"/>
      <c r="J35" s="371"/>
      <c r="K35" s="371"/>
      <c r="L35" s="371"/>
      <c r="M35" s="371"/>
      <c r="N35" s="371"/>
      <c r="O35" s="371"/>
      <c r="P35" s="371"/>
      <c r="Q35" s="371"/>
      <c r="R35" s="371">
        <f t="shared" si="11"/>
        <v>0</v>
      </c>
      <c r="S35" s="371">
        <f t="shared" si="12"/>
        <v>0</v>
      </c>
      <c r="T35" s="371"/>
      <c r="U35" s="367"/>
    </row>
    <row r="36" spans="1:21" s="368" customFormat="1" ht="11.4">
      <c r="A36" s="380" t="s">
        <v>2247</v>
      </c>
      <c r="B36" s="370">
        <f t="shared" si="9"/>
        <v>0</v>
      </c>
      <c r="C36" s="371"/>
      <c r="D36" s="371"/>
      <c r="E36" s="371">
        <f t="shared" si="10"/>
        <v>0</v>
      </c>
      <c r="F36" s="371"/>
      <c r="G36" s="371"/>
      <c r="H36" s="371"/>
      <c r="I36" s="371"/>
      <c r="J36" s="371"/>
      <c r="K36" s="371"/>
      <c r="L36" s="371"/>
      <c r="M36" s="371"/>
      <c r="N36" s="371"/>
      <c r="O36" s="371"/>
      <c r="P36" s="371"/>
      <c r="Q36" s="371"/>
      <c r="R36" s="371">
        <f t="shared" si="11"/>
        <v>0</v>
      </c>
      <c r="S36" s="371">
        <f t="shared" si="12"/>
        <v>0</v>
      </c>
      <c r="T36" s="371"/>
      <c r="U36" s="367"/>
    </row>
    <row r="37" spans="1:21" s="368" customFormat="1" ht="11.4">
      <c r="A37" s="376" t="s">
        <v>2496</v>
      </c>
      <c r="B37" s="370">
        <f t="shared" si="9"/>
        <v>245140</v>
      </c>
      <c r="C37" s="371">
        <v>245140</v>
      </c>
      <c r="D37" s="371"/>
      <c r="E37" s="371">
        <f t="shared" si="10"/>
        <v>245140</v>
      </c>
      <c r="F37" s="371"/>
      <c r="G37" s="371"/>
      <c r="H37" s="371"/>
      <c r="I37" s="371"/>
      <c r="J37" s="371"/>
      <c r="K37" s="371"/>
      <c r="L37" s="371"/>
      <c r="M37" s="371"/>
      <c r="N37" s="371"/>
      <c r="O37" s="371"/>
      <c r="P37" s="371"/>
      <c r="Q37" s="371"/>
      <c r="R37" s="371">
        <f t="shared" si="11"/>
        <v>245140</v>
      </c>
      <c r="S37" s="371">
        <f t="shared" si="12"/>
        <v>245140</v>
      </c>
      <c r="T37" s="371"/>
      <c r="U37" s="367"/>
    </row>
    <row r="38" spans="1:21" s="368" customFormat="1">
      <c r="A38" s="373" t="s">
        <v>1023</v>
      </c>
      <c r="B38" s="370">
        <f t="shared" si="9"/>
        <v>16094100</v>
      </c>
      <c r="C38" s="370">
        <f>SUM(C29:C37)</f>
        <v>15874904</v>
      </c>
      <c r="D38" s="370">
        <f>SUM(D29:D37)</f>
        <v>219196</v>
      </c>
      <c r="E38" s="370">
        <f>SUM(E29:E37)</f>
        <v>8127603</v>
      </c>
      <c r="F38" s="370">
        <f t="shared" ref="F38:T38" si="13">SUM(F29:F37)</f>
        <v>1633112</v>
      </c>
      <c r="G38" s="370">
        <f t="shared" si="13"/>
        <v>0</v>
      </c>
      <c r="H38" s="370">
        <f t="shared" si="13"/>
        <v>1000000</v>
      </c>
      <c r="I38" s="370">
        <f t="shared" si="13"/>
        <v>1833700</v>
      </c>
      <c r="J38" s="370">
        <f t="shared" si="13"/>
        <v>3499685</v>
      </c>
      <c r="K38" s="370">
        <f t="shared" si="13"/>
        <v>0</v>
      </c>
      <c r="L38" s="370">
        <f t="shared" si="13"/>
        <v>0</v>
      </c>
      <c r="M38" s="370">
        <f t="shared" si="13"/>
        <v>0</v>
      </c>
      <c r="N38" s="370">
        <f t="shared" si="13"/>
        <v>0</v>
      </c>
      <c r="O38" s="370">
        <f t="shared" si="13"/>
        <v>0</v>
      </c>
      <c r="P38" s="370">
        <f t="shared" si="13"/>
        <v>0</v>
      </c>
      <c r="Q38" s="370">
        <f t="shared" si="13"/>
        <v>0</v>
      </c>
      <c r="R38" s="370">
        <f t="shared" si="13"/>
        <v>16094100</v>
      </c>
      <c r="S38" s="374">
        <f t="shared" si="13"/>
        <v>15874904</v>
      </c>
      <c r="T38" s="374">
        <f t="shared" si="13"/>
        <v>0</v>
      </c>
      <c r="U38" s="367"/>
    </row>
    <row r="39" spans="1:21" s="368" customFormat="1" ht="11.4">
      <c r="A39" s="365" t="s">
        <v>1024</v>
      </c>
      <c r="B39" s="366"/>
      <c r="C39" s="366"/>
      <c r="D39" s="366"/>
      <c r="E39" s="375"/>
      <c r="F39" s="375"/>
      <c r="G39" s="375"/>
      <c r="H39" s="375"/>
      <c r="I39" s="375"/>
      <c r="J39" s="375"/>
      <c r="K39" s="375"/>
      <c r="L39" s="375"/>
      <c r="M39" s="375"/>
      <c r="N39" s="375"/>
      <c r="O39" s="375"/>
      <c r="P39" s="375"/>
      <c r="Q39" s="375"/>
      <c r="R39" s="375"/>
      <c r="S39" s="366"/>
      <c r="T39" s="366"/>
      <c r="U39" s="367"/>
    </row>
    <row r="40" spans="1:21" s="368" customFormat="1" ht="11.4">
      <c r="A40" s="369" t="s">
        <v>1025</v>
      </c>
      <c r="B40" s="370">
        <f>SUM(C40+D40)</f>
        <v>900000</v>
      </c>
      <c r="C40" s="371">
        <v>888953</v>
      </c>
      <c r="D40" s="371">
        <v>11047</v>
      </c>
      <c r="E40" s="371">
        <f t="shared" ref="E40:E41" si="14">B40-SUM(F40:Q40)</f>
        <v>900000</v>
      </c>
      <c r="F40" s="371"/>
      <c r="G40" s="371"/>
      <c r="H40" s="371"/>
      <c r="I40" s="371"/>
      <c r="J40" s="371"/>
      <c r="K40" s="371"/>
      <c r="L40" s="371"/>
      <c r="M40" s="371"/>
      <c r="N40" s="371"/>
      <c r="O40" s="371"/>
      <c r="P40" s="371"/>
      <c r="Q40" s="371"/>
      <c r="R40" s="371">
        <f>SUM(E40:Q40)</f>
        <v>900000</v>
      </c>
      <c r="S40" s="371">
        <f t="shared" ref="S40" si="15">C40</f>
        <v>888953</v>
      </c>
      <c r="T40" s="371"/>
      <c r="U40" s="367"/>
    </row>
    <row r="41" spans="1:21" s="368" customFormat="1" ht="11.4">
      <c r="A41" s="369" t="s">
        <v>1026</v>
      </c>
      <c r="B41" s="370">
        <f>SUM(C41+D41)</f>
        <v>0</v>
      </c>
      <c r="C41" s="371"/>
      <c r="D41" s="371"/>
      <c r="E41" s="371">
        <f t="shared" si="14"/>
        <v>0</v>
      </c>
      <c r="F41" s="371"/>
      <c r="G41" s="371"/>
      <c r="H41" s="371"/>
      <c r="I41" s="371"/>
      <c r="J41" s="371"/>
      <c r="K41" s="371"/>
      <c r="L41" s="371"/>
      <c r="M41" s="371"/>
      <c r="N41" s="371"/>
      <c r="O41" s="371"/>
      <c r="P41" s="371"/>
      <c r="Q41" s="371"/>
      <c r="R41" s="371">
        <f>SUM(E41:Q41)</f>
        <v>0</v>
      </c>
      <c r="S41" s="371"/>
      <c r="T41" s="371"/>
      <c r="U41" s="367"/>
    </row>
    <row r="42" spans="1:21" s="368" customFormat="1">
      <c r="A42" s="373" t="s">
        <v>1027</v>
      </c>
      <c r="B42" s="370">
        <f>SUM(C42:D42)</f>
        <v>900000</v>
      </c>
      <c r="C42" s="370">
        <f>SUM(C39:C41)</f>
        <v>888953</v>
      </c>
      <c r="D42" s="370">
        <f>SUM(D39:D41)</f>
        <v>11047</v>
      </c>
      <c r="E42" s="370">
        <f t="shared" ref="E42:T42" si="16">SUM(E40:E41)</f>
        <v>900000</v>
      </c>
      <c r="F42" s="370">
        <f t="shared" si="16"/>
        <v>0</v>
      </c>
      <c r="G42" s="370">
        <f t="shared" si="16"/>
        <v>0</v>
      </c>
      <c r="H42" s="370">
        <f t="shared" si="16"/>
        <v>0</v>
      </c>
      <c r="I42" s="370">
        <f t="shared" si="16"/>
        <v>0</v>
      </c>
      <c r="J42" s="370">
        <f t="shared" si="16"/>
        <v>0</v>
      </c>
      <c r="K42" s="370">
        <f t="shared" si="16"/>
        <v>0</v>
      </c>
      <c r="L42" s="370">
        <f t="shared" si="16"/>
        <v>0</v>
      </c>
      <c r="M42" s="370">
        <f t="shared" si="16"/>
        <v>0</v>
      </c>
      <c r="N42" s="370">
        <f t="shared" si="16"/>
        <v>0</v>
      </c>
      <c r="O42" s="370">
        <f t="shared" si="16"/>
        <v>0</v>
      </c>
      <c r="P42" s="370">
        <f t="shared" si="16"/>
        <v>0</v>
      </c>
      <c r="Q42" s="370">
        <f t="shared" si="16"/>
        <v>0</v>
      </c>
      <c r="R42" s="370">
        <f t="shared" si="16"/>
        <v>900000</v>
      </c>
      <c r="S42" s="374">
        <f t="shared" si="16"/>
        <v>888953</v>
      </c>
      <c r="T42" s="374">
        <f t="shared" si="16"/>
        <v>0</v>
      </c>
      <c r="U42" s="367"/>
    </row>
    <row r="43" spans="1:21" s="368" customFormat="1">
      <c r="A43" s="373" t="s">
        <v>1028</v>
      </c>
      <c r="B43" s="370">
        <f>SUM(C43:D43)</f>
        <v>100000</v>
      </c>
      <c r="C43" s="371">
        <v>98773</v>
      </c>
      <c r="D43" s="371">
        <v>1227</v>
      </c>
      <c r="E43" s="371">
        <f>B43-SUM(F43:Q43)</f>
        <v>100000</v>
      </c>
      <c r="F43" s="371">
        <v>0</v>
      </c>
      <c r="G43" s="371"/>
      <c r="H43" s="371"/>
      <c r="I43" s="371"/>
      <c r="J43" s="371"/>
      <c r="K43" s="371"/>
      <c r="L43" s="371"/>
      <c r="M43" s="371"/>
      <c r="N43" s="371"/>
      <c r="O43" s="371"/>
      <c r="P43" s="371"/>
      <c r="Q43" s="371"/>
      <c r="R43" s="371">
        <f>SUM(E43:Q43)</f>
        <v>100000</v>
      </c>
      <c r="S43" s="371">
        <f t="shared" ref="S43" si="17">C43</f>
        <v>98773</v>
      </c>
      <c r="T43" s="371"/>
      <c r="U43" s="367"/>
    </row>
    <row r="44" spans="1:21" s="368" customFormat="1" ht="11.4">
      <c r="A44" s="365" t="s">
        <v>1029</v>
      </c>
      <c r="B44" s="366"/>
      <c r="C44" s="366"/>
      <c r="D44" s="366"/>
      <c r="E44" s="375"/>
      <c r="F44" s="375"/>
      <c r="G44" s="375"/>
      <c r="H44" s="375"/>
      <c r="I44" s="375"/>
      <c r="J44" s="375"/>
      <c r="K44" s="375"/>
      <c r="L44" s="375"/>
      <c r="M44" s="375"/>
      <c r="N44" s="375"/>
      <c r="O44" s="375"/>
      <c r="P44" s="375"/>
      <c r="Q44" s="375"/>
      <c r="R44" s="375"/>
      <c r="S44" s="366"/>
      <c r="T44" s="366"/>
      <c r="U44" s="367"/>
    </row>
    <row r="45" spans="1:21" s="368" customFormat="1" ht="11.4">
      <c r="A45" s="369" t="s">
        <v>1030</v>
      </c>
      <c r="B45" s="370">
        <f t="shared" ref="B45:B52" si="18">SUM(C45+D45)</f>
        <v>657273</v>
      </c>
      <c r="C45" s="371">
        <v>657273</v>
      </c>
      <c r="D45" s="371"/>
      <c r="E45" s="371">
        <f t="shared" ref="E45:E52" si="19">B45-SUM(F45:Q45)</f>
        <v>657273</v>
      </c>
      <c r="F45" s="371"/>
      <c r="G45" s="371"/>
      <c r="H45" s="371"/>
      <c r="I45" s="371"/>
      <c r="J45" s="371"/>
      <c r="K45" s="371"/>
      <c r="L45" s="371"/>
      <c r="M45" s="371"/>
      <c r="N45" s="371"/>
      <c r="O45" s="371"/>
      <c r="P45" s="371"/>
      <c r="Q45" s="371"/>
      <c r="R45" s="371">
        <f t="shared" ref="R45:R52" si="20">SUM(E45:Q45)</f>
        <v>657273</v>
      </c>
      <c r="S45" s="371">
        <v>240268</v>
      </c>
      <c r="T45" s="371"/>
      <c r="U45" s="367"/>
    </row>
    <row r="46" spans="1:21" s="368" customFormat="1" ht="11.4">
      <c r="A46" s="369" t="s">
        <v>1031</v>
      </c>
      <c r="B46" s="370">
        <f t="shared" si="18"/>
        <v>199430</v>
      </c>
      <c r="C46" s="371">
        <f>159930+39500</f>
        <v>199430</v>
      </c>
      <c r="D46" s="371"/>
      <c r="E46" s="371">
        <f t="shared" si="19"/>
        <v>199430</v>
      </c>
      <c r="F46" s="371"/>
      <c r="G46" s="371"/>
      <c r="H46" s="371"/>
      <c r="I46" s="371"/>
      <c r="J46" s="371"/>
      <c r="K46" s="371"/>
      <c r="L46" s="371"/>
      <c r="M46" s="371"/>
      <c r="N46" s="371"/>
      <c r="O46" s="371"/>
      <c r="P46" s="371"/>
      <c r="Q46" s="371"/>
      <c r="R46" s="371">
        <f t="shared" si="20"/>
        <v>199430</v>
      </c>
      <c r="S46" s="371">
        <f>60819+15021</f>
        <v>75840</v>
      </c>
      <c r="T46" s="371"/>
      <c r="U46" s="367"/>
    </row>
    <row r="47" spans="1:21" s="368" customFormat="1" ht="12" customHeight="1">
      <c r="A47" s="369" t="s">
        <v>1032</v>
      </c>
      <c r="B47" s="370">
        <f t="shared" si="18"/>
        <v>0</v>
      </c>
      <c r="C47" s="371"/>
      <c r="D47" s="371"/>
      <c r="E47" s="371">
        <f t="shared" si="19"/>
        <v>0</v>
      </c>
      <c r="F47" s="371"/>
      <c r="G47" s="371"/>
      <c r="H47" s="371"/>
      <c r="I47" s="371"/>
      <c r="J47" s="371"/>
      <c r="K47" s="371"/>
      <c r="L47" s="371"/>
      <c r="M47" s="371"/>
      <c r="N47" s="371"/>
      <c r="O47" s="371"/>
      <c r="P47" s="371"/>
      <c r="Q47" s="371"/>
      <c r="R47" s="371">
        <f t="shared" si="20"/>
        <v>0</v>
      </c>
      <c r="S47" s="371"/>
      <c r="T47" s="371"/>
      <c r="U47" s="367"/>
    </row>
    <row r="48" spans="1:21" s="368" customFormat="1" ht="11.4">
      <c r="A48" s="369" t="s">
        <v>1033</v>
      </c>
      <c r="B48" s="370">
        <f t="shared" si="18"/>
        <v>0</v>
      </c>
      <c r="C48" s="371"/>
      <c r="D48" s="371"/>
      <c r="E48" s="371">
        <f t="shared" si="19"/>
        <v>0</v>
      </c>
      <c r="F48" s="371"/>
      <c r="G48" s="371"/>
      <c r="H48" s="371"/>
      <c r="I48" s="371"/>
      <c r="J48" s="371"/>
      <c r="K48" s="371"/>
      <c r="L48" s="371"/>
      <c r="M48" s="371"/>
      <c r="N48" s="371"/>
      <c r="O48" s="371"/>
      <c r="P48" s="371"/>
      <c r="Q48" s="371"/>
      <c r="R48" s="371">
        <f t="shared" si="20"/>
        <v>0</v>
      </c>
      <c r="S48" s="371"/>
      <c r="T48" s="371"/>
      <c r="U48" s="367"/>
    </row>
    <row r="49" spans="1:21" s="368" customFormat="1" ht="11.4">
      <c r="A49" s="369" t="s">
        <v>1036</v>
      </c>
      <c r="B49" s="370">
        <f t="shared" si="18"/>
        <v>35000</v>
      </c>
      <c r="C49" s="371">
        <v>35000</v>
      </c>
      <c r="D49" s="371"/>
      <c r="E49" s="371">
        <f t="shared" si="19"/>
        <v>35000</v>
      </c>
      <c r="F49" s="371"/>
      <c r="G49" s="371"/>
      <c r="H49" s="371"/>
      <c r="I49" s="371"/>
      <c r="J49" s="371"/>
      <c r="K49" s="371"/>
      <c r="L49" s="371"/>
      <c r="M49" s="371"/>
      <c r="N49" s="371"/>
      <c r="O49" s="371"/>
      <c r="P49" s="371"/>
      <c r="Q49" s="371"/>
      <c r="R49" s="371">
        <f t="shared" si="20"/>
        <v>35000</v>
      </c>
      <c r="S49" s="371">
        <f>C49</f>
        <v>35000</v>
      </c>
      <c r="T49" s="371"/>
      <c r="U49" s="367"/>
    </row>
    <row r="50" spans="1:21" s="368" customFormat="1" ht="11.4">
      <c r="A50" s="369" t="s">
        <v>1034</v>
      </c>
      <c r="B50" s="370">
        <f t="shared" si="18"/>
        <v>60000</v>
      </c>
      <c r="C50" s="371">
        <v>59264</v>
      </c>
      <c r="D50" s="371">
        <v>736</v>
      </c>
      <c r="E50" s="371">
        <f t="shared" si="19"/>
        <v>60000</v>
      </c>
      <c r="F50" s="371"/>
      <c r="G50" s="371"/>
      <c r="H50" s="371"/>
      <c r="I50" s="371"/>
      <c r="J50" s="371"/>
      <c r="K50" s="371"/>
      <c r="L50" s="371"/>
      <c r="M50" s="371"/>
      <c r="N50" s="371"/>
      <c r="O50" s="371"/>
      <c r="P50" s="371"/>
      <c r="Q50" s="371"/>
      <c r="R50" s="371">
        <f t="shared" si="20"/>
        <v>60000</v>
      </c>
      <c r="S50" s="371">
        <v>40316</v>
      </c>
      <c r="T50" s="371"/>
      <c r="U50" s="367"/>
    </row>
    <row r="51" spans="1:21" s="368" customFormat="1" ht="11.4">
      <c r="A51" s="369" t="s">
        <v>1035</v>
      </c>
      <c r="B51" s="370">
        <f t="shared" si="18"/>
        <v>55000</v>
      </c>
      <c r="C51" s="371">
        <v>54325</v>
      </c>
      <c r="D51" s="371">
        <v>675</v>
      </c>
      <c r="E51" s="371">
        <f t="shared" si="19"/>
        <v>55000</v>
      </c>
      <c r="F51" s="371"/>
      <c r="G51" s="371"/>
      <c r="H51" s="371"/>
      <c r="I51" s="371"/>
      <c r="J51" s="371"/>
      <c r="K51" s="371"/>
      <c r="L51" s="371"/>
      <c r="M51" s="371"/>
      <c r="N51" s="371"/>
      <c r="O51" s="371"/>
      <c r="P51" s="371"/>
      <c r="Q51" s="371"/>
      <c r="R51" s="371">
        <f t="shared" si="20"/>
        <v>55000</v>
      </c>
      <c r="S51" s="371">
        <f>C51</f>
        <v>54325</v>
      </c>
      <c r="T51" s="371"/>
      <c r="U51" s="367"/>
    </row>
    <row r="52" spans="1:21" s="368" customFormat="1" ht="11.4">
      <c r="A52" s="376"/>
      <c r="B52" s="370">
        <f t="shared" si="18"/>
        <v>0</v>
      </c>
      <c r="C52" s="371"/>
      <c r="D52" s="371"/>
      <c r="E52" s="371">
        <f t="shared" si="19"/>
        <v>0</v>
      </c>
      <c r="F52" s="371"/>
      <c r="G52" s="371"/>
      <c r="H52" s="371"/>
      <c r="I52" s="371"/>
      <c r="J52" s="371"/>
      <c r="K52" s="371"/>
      <c r="L52" s="371"/>
      <c r="M52" s="371"/>
      <c r="N52" s="371"/>
      <c r="O52" s="371"/>
      <c r="P52" s="371"/>
      <c r="Q52" s="371"/>
      <c r="R52" s="371">
        <f t="shared" si="20"/>
        <v>0</v>
      </c>
      <c r="S52" s="371"/>
      <c r="T52" s="371"/>
      <c r="U52" s="367"/>
    </row>
    <row r="53" spans="1:21" s="378" customFormat="1">
      <c r="A53" s="373" t="s">
        <v>1037</v>
      </c>
      <c r="B53" s="374">
        <f>SUM(C53:D53)</f>
        <v>1006703</v>
      </c>
      <c r="C53" s="374">
        <f t="shared" ref="C53:T53" si="21">SUM(C45:C52)</f>
        <v>1005292</v>
      </c>
      <c r="D53" s="374">
        <f t="shared" si="21"/>
        <v>1411</v>
      </c>
      <c r="E53" s="374">
        <f t="shared" si="21"/>
        <v>1006703</v>
      </c>
      <c r="F53" s="374">
        <f t="shared" si="21"/>
        <v>0</v>
      </c>
      <c r="G53" s="374">
        <f t="shared" si="21"/>
        <v>0</v>
      </c>
      <c r="H53" s="374">
        <f t="shared" si="21"/>
        <v>0</v>
      </c>
      <c r="I53" s="374">
        <f t="shared" si="21"/>
        <v>0</v>
      </c>
      <c r="J53" s="374">
        <f t="shared" si="21"/>
        <v>0</v>
      </c>
      <c r="K53" s="374">
        <f t="shared" si="21"/>
        <v>0</v>
      </c>
      <c r="L53" s="374">
        <f t="shared" si="21"/>
        <v>0</v>
      </c>
      <c r="M53" s="374">
        <f t="shared" si="21"/>
        <v>0</v>
      </c>
      <c r="N53" s="374">
        <f t="shared" si="21"/>
        <v>0</v>
      </c>
      <c r="O53" s="374">
        <f t="shared" si="21"/>
        <v>0</v>
      </c>
      <c r="P53" s="374">
        <f t="shared" si="21"/>
        <v>0</v>
      </c>
      <c r="Q53" s="374">
        <f t="shared" si="21"/>
        <v>0</v>
      </c>
      <c r="R53" s="370">
        <f t="shared" si="21"/>
        <v>1006703</v>
      </c>
      <c r="S53" s="374">
        <f t="shared" si="21"/>
        <v>445749</v>
      </c>
      <c r="T53" s="374">
        <f t="shared" si="21"/>
        <v>0</v>
      </c>
      <c r="U53" s="377"/>
    </row>
    <row r="54" spans="1:21" s="368" customFormat="1" ht="11.4">
      <c r="A54" s="365" t="s">
        <v>749</v>
      </c>
      <c r="B54" s="366"/>
      <c r="C54" s="366"/>
      <c r="D54" s="366"/>
      <c r="E54" s="375"/>
      <c r="F54" s="375"/>
      <c r="G54" s="375"/>
      <c r="H54" s="375"/>
      <c r="I54" s="375"/>
      <c r="J54" s="375"/>
      <c r="K54" s="375"/>
      <c r="L54" s="375"/>
      <c r="M54" s="375"/>
      <c r="N54" s="375"/>
      <c r="O54" s="375"/>
      <c r="P54" s="375"/>
      <c r="Q54" s="375"/>
      <c r="R54" s="375"/>
      <c r="S54" s="366"/>
      <c r="T54" s="366"/>
      <c r="U54" s="367"/>
    </row>
    <row r="55" spans="1:21" s="368" customFormat="1" ht="11.4">
      <c r="A55" s="369" t="s">
        <v>1038</v>
      </c>
      <c r="B55" s="370">
        <f t="shared" ref="B55:B60" si="22">SUM(C55+D55)</f>
        <v>0</v>
      </c>
      <c r="C55" s="371"/>
      <c r="D55" s="371"/>
      <c r="E55" s="371">
        <f t="shared" ref="E55:E60" si="23">B55-SUM(F55:Q55)</f>
        <v>0</v>
      </c>
      <c r="F55" s="371"/>
      <c r="G55" s="371"/>
      <c r="H55" s="371"/>
      <c r="I55" s="371"/>
      <c r="J55" s="371"/>
      <c r="K55" s="371"/>
      <c r="L55" s="371"/>
      <c r="M55" s="371"/>
      <c r="N55" s="371"/>
      <c r="O55" s="371"/>
      <c r="P55" s="371"/>
      <c r="Q55" s="371"/>
      <c r="R55" s="371">
        <f>SUM(E55:Q55)</f>
        <v>0</v>
      </c>
      <c r="S55" s="372"/>
      <c r="T55" s="372"/>
      <c r="U55" s="367"/>
    </row>
    <row r="56" spans="1:21" s="368" customFormat="1" ht="12" customHeight="1">
      <c r="A56" s="369" t="s">
        <v>1032</v>
      </c>
      <c r="B56" s="370">
        <f t="shared" si="22"/>
        <v>0</v>
      </c>
      <c r="C56" s="371"/>
      <c r="D56" s="371"/>
      <c r="E56" s="371">
        <f t="shared" si="23"/>
        <v>0</v>
      </c>
      <c r="F56" s="371"/>
      <c r="G56" s="371"/>
      <c r="H56" s="371"/>
      <c r="I56" s="371"/>
      <c r="J56" s="371"/>
      <c r="K56" s="371"/>
      <c r="L56" s="371"/>
      <c r="M56" s="371"/>
      <c r="N56" s="371"/>
      <c r="O56" s="371"/>
      <c r="P56" s="371"/>
      <c r="Q56" s="371"/>
      <c r="R56" s="371">
        <f t="shared" ref="R56:R60" si="24">SUM(E56:Q56)</f>
        <v>0</v>
      </c>
      <c r="S56" s="372"/>
      <c r="T56" s="372"/>
      <c r="U56" s="367"/>
    </row>
    <row r="57" spans="1:21" s="368" customFormat="1" ht="11.4">
      <c r="A57" s="369" t="s">
        <v>1036</v>
      </c>
      <c r="B57" s="370">
        <f t="shared" si="22"/>
        <v>15000</v>
      </c>
      <c r="C57" s="371">
        <v>15000</v>
      </c>
      <c r="D57" s="371"/>
      <c r="E57" s="371">
        <f t="shared" si="23"/>
        <v>15000</v>
      </c>
      <c r="F57" s="371"/>
      <c r="G57" s="371"/>
      <c r="H57" s="371"/>
      <c r="I57" s="371"/>
      <c r="J57" s="371"/>
      <c r="K57" s="371"/>
      <c r="L57" s="371"/>
      <c r="M57" s="371"/>
      <c r="N57" s="371"/>
      <c r="O57" s="371"/>
      <c r="P57" s="371"/>
      <c r="Q57" s="371"/>
      <c r="R57" s="371">
        <f t="shared" si="24"/>
        <v>15000</v>
      </c>
      <c r="S57" s="372"/>
      <c r="T57" s="372"/>
      <c r="U57" s="367"/>
    </row>
    <row r="58" spans="1:21" s="368" customFormat="1" ht="11.4">
      <c r="A58" s="369" t="s">
        <v>1034</v>
      </c>
      <c r="B58" s="370">
        <f t="shared" si="22"/>
        <v>0</v>
      </c>
      <c r="C58" s="371"/>
      <c r="D58" s="371"/>
      <c r="E58" s="371">
        <f t="shared" si="23"/>
        <v>0</v>
      </c>
      <c r="F58" s="371"/>
      <c r="G58" s="371"/>
      <c r="H58" s="371"/>
      <c r="I58" s="371"/>
      <c r="J58" s="371"/>
      <c r="K58" s="371"/>
      <c r="L58" s="371"/>
      <c r="M58" s="371"/>
      <c r="N58" s="371"/>
      <c r="O58" s="371"/>
      <c r="P58" s="371"/>
      <c r="Q58" s="371"/>
      <c r="R58" s="371">
        <f t="shared" si="24"/>
        <v>0</v>
      </c>
      <c r="S58" s="372"/>
      <c r="T58" s="372"/>
      <c r="U58" s="367"/>
    </row>
    <row r="59" spans="1:21" s="368" customFormat="1" ht="11.4">
      <c r="A59" s="369" t="s">
        <v>1035</v>
      </c>
      <c r="B59" s="370">
        <f t="shared" si="22"/>
        <v>0</v>
      </c>
      <c r="C59" s="371"/>
      <c r="D59" s="371"/>
      <c r="E59" s="371">
        <f t="shared" si="23"/>
        <v>0</v>
      </c>
      <c r="F59" s="371"/>
      <c r="G59" s="371"/>
      <c r="H59" s="371"/>
      <c r="I59" s="371"/>
      <c r="J59" s="371"/>
      <c r="K59" s="371"/>
      <c r="L59" s="371"/>
      <c r="M59" s="371"/>
      <c r="N59" s="371"/>
      <c r="O59" s="371"/>
      <c r="P59" s="371"/>
      <c r="Q59" s="371"/>
      <c r="R59" s="371">
        <f t="shared" si="24"/>
        <v>0</v>
      </c>
      <c r="S59" s="372"/>
      <c r="T59" s="372"/>
      <c r="U59" s="367"/>
    </row>
    <row r="60" spans="1:21" s="368" customFormat="1" ht="11.4">
      <c r="A60" s="376" t="s">
        <v>592</v>
      </c>
      <c r="B60" s="370">
        <f t="shared" si="22"/>
        <v>0</v>
      </c>
      <c r="C60" s="371"/>
      <c r="D60" s="371"/>
      <c r="E60" s="371">
        <f t="shared" si="23"/>
        <v>0</v>
      </c>
      <c r="F60" s="371"/>
      <c r="G60" s="371"/>
      <c r="H60" s="371"/>
      <c r="I60" s="371"/>
      <c r="J60" s="371"/>
      <c r="K60" s="371"/>
      <c r="L60" s="371"/>
      <c r="M60" s="371"/>
      <c r="N60" s="371"/>
      <c r="O60" s="371"/>
      <c r="P60" s="371"/>
      <c r="Q60" s="371"/>
      <c r="R60" s="371">
        <f t="shared" si="24"/>
        <v>0</v>
      </c>
      <c r="S60" s="372"/>
      <c r="T60" s="372"/>
      <c r="U60" s="367"/>
    </row>
    <row r="61" spans="1:21" s="368" customFormat="1" ht="14.1" customHeight="1">
      <c r="A61" s="373" t="s">
        <v>549</v>
      </c>
      <c r="B61" s="370">
        <f>SUM(C61:D61)</f>
        <v>15000</v>
      </c>
      <c r="C61" s="370">
        <f t="shared" ref="C61:R61" si="25">SUM(C55:C60)</f>
        <v>15000</v>
      </c>
      <c r="D61" s="370">
        <f t="shared" si="25"/>
        <v>0</v>
      </c>
      <c r="E61" s="370">
        <f t="shared" si="25"/>
        <v>15000</v>
      </c>
      <c r="F61" s="370">
        <f t="shared" si="25"/>
        <v>0</v>
      </c>
      <c r="G61" s="370">
        <f t="shared" si="25"/>
        <v>0</v>
      </c>
      <c r="H61" s="370">
        <f t="shared" si="25"/>
        <v>0</v>
      </c>
      <c r="I61" s="370">
        <f t="shared" si="25"/>
        <v>0</v>
      </c>
      <c r="J61" s="370">
        <f t="shared" si="25"/>
        <v>0</v>
      </c>
      <c r="K61" s="370">
        <f t="shared" si="25"/>
        <v>0</v>
      </c>
      <c r="L61" s="370">
        <f t="shared" si="25"/>
        <v>0</v>
      </c>
      <c r="M61" s="370">
        <f t="shared" si="25"/>
        <v>0</v>
      </c>
      <c r="N61" s="370">
        <f t="shared" si="25"/>
        <v>0</v>
      </c>
      <c r="O61" s="370">
        <f t="shared" si="25"/>
        <v>0</v>
      </c>
      <c r="P61" s="370">
        <f t="shared" si="25"/>
        <v>0</v>
      </c>
      <c r="Q61" s="370">
        <f t="shared" si="25"/>
        <v>0</v>
      </c>
      <c r="R61" s="370">
        <f t="shared" si="25"/>
        <v>15000</v>
      </c>
      <c r="S61" s="372"/>
      <c r="T61" s="372"/>
      <c r="U61" s="367"/>
    </row>
    <row r="62" spans="1:21" s="368" customFormat="1" ht="11.4">
      <c r="A62" s="379" t="s">
        <v>550</v>
      </c>
      <c r="B62" s="370">
        <f>SUM(C62:D62)</f>
        <v>19507803</v>
      </c>
      <c r="C62" s="370">
        <f t="shared" ref="C62:R62" si="26">SUM(C8+C11+C13+C14+C15+C26+C27+C38+C42+C43+C53+C61)</f>
        <v>18788168</v>
      </c>
      <c r="D62" s="370">
        <f t="shared" si="26"/>
        <v>719635</v>
      </c>
      <c r="E62" s="370">
        <f t="shared" si="26"/>
        <v>11541306</v>
      </c>
      <c r="F62" s="370">
        <f t="shared" si="26"/>
        <v>1633112</v>
      </c>
      <c r="G62" s="370">
        <f t="shared" si="26"/>
        <v>0</v>
      </c>
      <c r="H62" s="370">
        <f t="shared" si="26"/>
        <v>1000000</v>
      </c>
      <c r="I62" s="370">
        <f t="shared" si="26"/>
        <v>1833700</v>
      </c>
      <c r="J62" s="370">
        <f t="shared" si="26"/>
        <v>3499685</v>
      </c>
      <c r="K62" s="370">
        <f t="shared" si="26"/>
        <v>0</v>
      </c>
      <c r="L62" s="370">
        <f t="shared" si="26"/>
        <v>0</v>
      </c>
      <c r="M62" s="370">
        <f t="shared" si="26"/>
        <v>0</v>
      </c>
      <c r="N62" s="370">
        <f t="shared" si="26"/>
        <v>0</v>
      </c>
      <c r="O62" s="370">
        <f t="shared" si="26"/>
        <v>0</v>
      </c>
      <c r="P62" s="370">
        <f t="shared" si="26"/>
        <v>0</v>
      </c>
      <c r="Q62" s="370">
        <f t="shared" si="26"/>
        <v>0</v>
      </c>
      <c r="R62" s="370">
        <f t="shared" si="26"/>
        <v>19507803</v>
      </c>
      <c r="S62" s="370">
        <f>SUM(S10+S13+S14+S15+S26+S27+S38+S42+S43+S53)</f>
        <v>17508379</v>
      </c>
      <c r="T62" s="370">
        <f>SUM(T11+T13+T14+T15+T26+T27+T38+T42+T43+T53)</f>
        <v>0</v>
      </c>
      <c r="U62" s="367"/>
    </row>
    <row r="63" spans="1:21" s="368" customFormat="1" ht="22.8">
      <c r="A63" s="365" t="s">
        <v>2248</v>
      </c>
      <c r="B63" s="366"/>
      <c r="C63" s="366"/>
      <c r="D63" s="366"/>
      <c r="E63" s="375"/>
      <c r="F63" s="375"/>
      <c r="G63" s="375"/>
      <c r="H63" s="375"/>
      <c r="I63" s="375"/>
      <c r="J63" s="375"/>
      <c r="K63" s="375"/>
      <c r="L63" s="375"/>
      <c r="M63" s="375"/>
      <c r="N63" s="375"/>
      <c r="O63" s="375"/>
      <c r="P63" s="375"/>
      <c r="Q63" s="375"/>
      <c r="R63" s="375"/>
      <c r="S63" s="366"/>
      <c r="T63" s="366"/>
      <c r="U63" s="367"/>
    </row>
    <row r="64" spans="1:21" s="368" customFormat="1" ht="11.4">
      <c r="A64" s="369" t="s">
        <v>312</v>
      </c>
      <c r="B64" s="370">
        <f>SUM(C64+D64)</f>
        <v>45000</v>
      </c>
      <c r="C64" s="371">
        <v>45000</v>
      </c>
      <c r="D64" s="371"/>
      <c r="E64" s="371">
        <f t="shared" ref="E64:E68" si="27">B64-SUM(F64:Q64)</f>
        <v>45000</v>
      </c>
      <c r="F64" s="371"/>
      <c r="G64" s="371"/>
      <c r="H64" s="371"/>
      <c r="I64" s="371"/>
      <c r="J64" s="371"/>
      <c r="K64" s="371"/>
      <c r="L64" s="371"/>
      <c r="M64" s="371"/>
      <c r="N64" s="371"/>
      <c r="O64" s="371"/>
      <c r="P64" s="371"/>
      <c r="Q64" s="371"/>
      <c r="R64" s="371">
        <f>SUM(E64:Q64)</f>
        <v>45000</v>
      </c>
      <c r="S64" s="371">
        <v>17113</v>
      </c>
      <c r="T64" s="371"/>
      <c r="U64" s="367"/>
    </row>
    <row r="65" spans="1:21" s="368" customFormat="1" ht="22.8">
      <c r="A65" s="369" t="s">
        <v>2249</v>
      </c>
      <c r="B65" s="370">
        <f>SUM(C65+D65)</f>
        <v>0</v>
      </c>
      <c r="C65" s="371"/>
      <c r="D65" s="371"/>
      <c r="E65" s="371">
        <f t="shared" si="27"/>
        <v>0</v>
      </c>
      <c r="F65" s="371"/>
      <c r="G65" s="371"/>
      <c r="H65" s="371"/>
      <c r="I65" s="371"/>
      <c r="J65" s="371"/>
      <c r="K65" s="371"/>
      <c r="L65" s="371"/>
      <c r="M65" s="371"/>
      <c r="N65" s="371"/>
      <c r="O65" s="371"/>
      <c r="P65" s="371"/>
      <c r="Q65" s="371"/>
      <c r="R65" s="371">
        <f>SUM(E65:Q65)</f>
        <v>0</v>
      </c>
      <c r="S65" s="371"/>
      <c r="T65" s="371"/>
      <c r="U65" s="367"/>
    </row>
    <row r="66" spans="1:21" s="368" customFormat="1" ht="22.8">
      <c r="A66" s="369" t="s">
        <v>2250</v>
      </c>
      <c r="B66" s="370">
        <f>SUM(C66+D66)</f>
        <v>0</v>
      </c>
      <c r="C66" s="371"/>
      <c r="D66" s="371"/>
      <c r="E66" s="371">
        <f t="shared" si="27"/>
        <v>0</v>
      </c>
      <c r="F66" s="371"/>
      <c r="G66" s="371"/>
      <c r="H66" s="371"/>
      <c r="I66" s="371"/>
      <c r="J66" s="371"/>
      <c r="K66" s="371"/>
      <c r="L66" s="371"/>
      <c r="M66" s="371"/>
      <c r="N66" s="371"/>
      <c r="O66" s="371"/>
      <c r="P66" s="371"/>
      <c r="Q66" s="371"/>
      <c r="R66" s="371">
        <f>SUM(E66:Q66)</f>
        <v>0</v>
      </c>
      <c r="S66" s="371"/>
      <c r="T66" s="371"/>
      <c r="U66" s="367"/>
    </row>
    <row r="67" spans="1:21" s="368" customFormat="1" ht="11.4">
      <c r="A67" s="369" t="s">
        <v>2251</v>
      </c>
      <c r="B67" s="370">
        <f>SUM(C67+D67)</f>
        <v>0</v>
      </c>
      <c r="C67" s="371"/>
      <c r="D67" s="371"/>
      <c r="E67" s="371">
        <f t="shared" si="27"/>
        <v>0</v>
      </c>
      <c r="F67" s="371"/>
      <c r="G67" s="371"/>
      <c r="H67" s="371"/>
      <c r="I67" s="371"/>
      <c r="J67" s="371"/>
      <c r="K67" s="371"/>
      <c r="L67" s="371"/>
      <c r="M67" s="371"/>
      <c r="N67" s="371"/>
      <c r="O67" s="371"/>
      <c r="P67" s="371"/>
      <c r="Q67" s="371"/>
      <c r="R67" s="371">
        <f>SUM(E67:Q67)</f>
        <v>0</v>
      </c>
      <c r="S67" s="371"/>
      <c r="T67" s="371"/>
      <c r="U67" s="367"/>
    </row>
    <row r="68" spans="1:21" s="368" customFormat="1" ht="11.4">
      <c r="A68" s="376" t="s">
        <v>2494</v>
      </c>
      <c r="B68" s="370">
        <f>SUM(C68+D68)</f>
        <v>130000</v>
      </c>
      <c r="C68" s="371">
        <v>128404</v>
      </c>
      <c r="D68" s="371">
        <v>1596</v>
      </c>
      <c r="E68" s="371">
        <f t="shared" si="27"/>
        <v>130000</v>
      </c>
      <c r="F68" s="371"/>
      <c r="G68" s="371"/>
      <c r="H68" s="371"/>
      <c r="I68" s="371"/>
      <c r="J68" s="371"/>
      <c r="K68" s="371"/>
      <c r="L68" s="371"/>
      <c r="M68" s="371"/>
      <c r="N68" s="371"/>
      <c r="O68" s="371"/>
      <c r="P68" s="371"/>
      <c r="Q68" s="371"/>
      <c r="R68" s="371">
        <f>SUM(E68:Q68)</f>
        <v>130000</v>
      </c>
      <c r="S68" s="371">
        <v>128404</v>
      </c>
      <c r="T68" s="371"/>
      <c r="U68" s="367"/>
    </row>
    <row r="69" spans="1:21" s="368" customFormat="1">
      <c r="A69" s="373" t="s">
        <v>2252</v>
      </c>
      <c r="B69" s="370">
        <f>SUM(C69:D69)</f>
        <v>175000</v>
      </c>
      <c r="C69" s="370">
        <f>SUM(C63:C68)</f>
        <v>173404</v>
      </c>
      <c r="D69" s="370">
        <f>SUM(D63:D68)</f>
        <v>1596</v>
      </c>
      <c r="E69" s="370">
        <f t="shared" ref="E69:T69" si="28">SUM(E64:E68)</f>
        <v>175000</v>
      </c>
      <c r="F69" s="370">
        <f t="shared" si="28"/>
        <v>0</v>
      </c>
      <c r="G69" s="370">
        <f t="shared" si="28"/>
        <v>0</v>
      </c>
      <c r="H69" s="370">
        <f t="shared" si="28"/>
        <v>0</v>
      </c>
      <c r="I69" s="370">
        <f t="shared" si="28"/>
        <v>0</v>
      </c>
      <c r="J69" s="370">
        <f t="shared" si="28"/>
        <v>0</v>
      </c>
      <c r="K69" s="370">
        <f t="shared" si="28"/>
        <v>0</v>
      </c>
      <c r="L69" s="370">
        <f t="shared" si="28"/>
        <v>0</v>
      </c>
      <c r="M69" s="370">
        <f t="shared" si="28"/>
        <v>0</v>
      </c>
      <c r="N69" s="370">
        <f t="shared" si="28"/>
        <v>0</v>
      </c>
      <c r="O69" s="370">
        <f t="shared" si="28"/>
        <v>0</v>
      </c>
      <c r="P69" s="370">
        <f t="shared" si="28"/>
        <v>0</v>
      </c>
      <c r="Q69" s="370">
        <f t="shared" si="28"/>
        <v>0</v>
      </c>
      <c r="R69" s="370">
        <f t="shared" si="28"/>
        <v>175000</v>
      </c>
      <c r="S69" s="374">
        <f t="shared" si="28"/>
        <v>145517</v>
      </c>
      <c r="T69" s="374">
        <f t="shared" si="28"/>
        <v>0</v>
      </c>
      <c r="U69" s="367"/>
    </row>
    <row r="70" spans="1:21" s="368" customFormat="1" ht="11.4">
      <c r="A70" s="365" t="s">
        <v>313</v>
      </c>
      <c r="B70" s="375"/>
      <c r="C70" s="375"/>
      <c r="D70" s="375"/>
      <c r="E70" s="375"/>
      <c r="F70" s="375"/>
      <c r="G70" s="375"/>
      <c r="H70" s="375"/>
      <c r="I70" s="375"/>
      <c r="J70" s="375"/>
      <c r="K70" s="375"/>
      <c r="L70" s="375"/>
      <c r="M70" s="375"/>
      <c r="N70" s="375"/>
      <c r="O70" s="375"/>
      <c r="P70" s="375"/>
      <c r="Q70" s="375"/>
      <c r="R70" s="375"/>
      <c r="S70" s="375"/>
      <c r="T70" s="375"/>
      <c r="U70" s="367"/>
    </row>
    <row r="71" spans="1:21" s="368" customFormat="1" ht="11.4">
      <c r="A71" s="369" t="s">
        <v>314</v>
      </c>
      <c r="B71" s="370">
        <f>SUM(C71+D71)</f>
        <v>0</v>
      </c>
      <c r="C71" s="371"/>
      <c r="D71" s="371"/>
      <c r="E71" s="371">
        <f t="shared" ref="E71:E75" si="29">B71-SUM(F71:Q71)</f>
        <v>0</v>
      </c>
      <c r="F71" s="371"/>
      <c r="G71" s="371"/>
      <c r="H71" s="371"/>
      <c r="I71" s="371"/>
      <c r="J71" s="371"/>
      <c r="K71" s="371"/>
      <c r="L71" s="371"/>
      <c r="M71" s="371"/>
      <c r="N71" s="371"/>
      <c r="O71" s="371"/>
      <c r="P71" s="371"/>
      <c r="Q71" s="371"/>
      <c r="R71" s="371">
        <f>SUM(E71:Q71)</f>
        <v>0</v>
      </c>
      <c r="S71" s="372"/>
      <c r="T71" s="372"/>
      <c r="U71" s="367"/>
    </row>
    <row r="72" spans="1:21" s="368" customFormat="1" ht="11.4">
      <c r="A72" s="369" t="s">
        <v>315</v>
      </c>
      <c r="B72" s="370">
        <f>SUM(C72+D72)</f>
        <v>0</v>
      </c>
      <c r="C72" s="371"/>
      <c r="D72" s="371"/>
      <c r="E72" s="371">
        <f t="shared" si="29"/>
        <v>0</v>
      </c>
      <c r="F72" s="371"/>
      <c r="G72" s="371"/>
      <c r="H72" s="371"/>
      <c r="I72" s="371"/>
      <c r="J72" s="371"/>
      <c r="K72" s="371">
        <f>Application!AO635</f>
        <v>0</v>
      </c>
      <c r="L72" s="371"/>
      <c r="M72" s="371"/>
      <c r="N72" s="371"/>
      <c r="O72" s="371"/>
      <c r="P72" s="371"/>
      <c r="Q72" s="371"/>
      <c r="R72" s="371">
        <f>SUM(E72:Q72)</f>
        <v>0</v>
      </c>
      <c r="S72" s="372"/>
      <c r="T72" s="372"/>
      <c r="U72" s="367"/>
    </row>
    <row r="73" spans="1:21" s="368" customFormat="1" ht="11.4">
      <c r="A73" s="999" t="s">
        <v>1374</v>
      </c>
      <c r="B73" s="370">
        <f>SUM(C73+D73)</f>
        <v>0</v>
      </c>
      <c r="C73" s="371"/>
      <c r="D73" s="371"/>
      <c r="E73" s="371">
        <f t="shared" si="29"/>
        <v>0</v>
      </c>
      <c r="F73" s="371"/>
      <c r="G73" s="371"/>
      <c r="H73" s="371"/>
      <c r="I73" s="371"/>
      <c r="J73" s="371"/>
      <c r="K73" s="371"/>
      <c r="L73" s="371"/>
      <c r="M73" s="371"/>
      <c r="N73" s="371"/>
      <c r="O73" s="371"/>
      <c r="P73" s="371"/>
      <c r="Q73" s="371"/>
      <c r="R73" s="371">
        <f>SUM(E73:Q73)</f>
        <v>0</v>
      </c>
      <c r="S73" s="372"/>
      <c r="T73" s="372"/>
      <c r="U73" s="367"/>
    </row>
    <row r="74" spans="1:21" s="368" customFormat="1" ht="11.4">
      <c r="A74" s="369" t="s">
        <v>316</v>
      </c>
      <c r="B74" s="370">
        <f>SUM(C74+D74)</f>
        <v>192090</v>
      </c>
      <c r="C74" s="371">
        <v>192090</v>
      </c>
      <c r="D74" s="371"/>
      <c r="E74" s="371">
        <f t="shared" si="29"/>
        <v>192090</v>
      </c>
      <c r="F74" s="371"/>
      <c r="G74" s="371"/>
      <c r="H74" s="371"/>
      <c r="I74" s="371"/>
      <c r="J74" s="371"/>
      <c r="K74" s="371"/>
      <c r="L74" s="371"/>
      <c r="M74" s="371"/>
      <c r="N74" s="371"/>
      <c r="O74" s="371"/>
      <c r="P74" s="371"/>
      <c r="Q74" s="371"/>
      <c r="R74" s="371">
        <f>SUM(E74:Q74)</f>
        <v>192090</v>
      </c>
      <c r="S74" s="372"/>
      <c r="T74" s="372"/>
      <c r="U74" s="367"/>
    </row>
    <row r="75" spans="1:21" s="368" customFormat="1" ht="11.4">
      <c r="A75" s="376" t="s">
        <v>2495</v>
      </c>
      <c r="B75" s="370">
        <f>SUM(C75+D75)</f>
        <v>196539</v>
      </c>
      <c r="C75" s="371">
        <v>196539</v>
      </c>
      <c r="D75" s="371"/>
      <c r="E75" s="371">
        <f t="shared" si="29"/>
        <v>196539</v>
      </c>
      <c r="F75" s="371"/>
      <c r="G75" s="371"/>
      <c r="H75" s="371"/>
      <c r="I75" s="371"/>
      <c r="J75" s="371"/>
      <c r="K75" s="371"/>
      <c r="L75" s="371"/>
      <c r="M75" s="371"/>
      <c r="N75" s="371"/>
      <c r="O75" s="371"/>
      <c r="P75" s="371"/>
      <c r="Q75" s="371"/>
      <c r="R75" s="371">
        <f>SUM(E75:Q75)</f>
        <v>196539</v>
      </c>
      <c r="S75" s="372"/>
      <c r="T75" s="372"/>
      <c r="U75" s="367"/>
    </row>
    <row r="76" spans="1:21" s="368" customFormat="1">
      <c r="A76" s="373" t="s">
        <v>317</v>
      </c>
      <c r="B76" s="370">
        <f>SUM(C76:D76)</f>
        <v>388629</v>
      </c>
      <c r="C76" s="370">
        <f t="shared" ref="C76:Q76" si="30">SUM(C71:C75)</f>
        <v>388629</v>
      </c>
      <c r="D76" s="370">
        <f t="shared" si="30"/>
        <v>0</v>
      </c>
      <c r="E76" s="370">
        <f>SUM(E71:E75)</f>
        <v>388629</v>
      </c>
      <c r="F76" s="370">
        <f>SUM(F71:F75)</f>
        <v>0</v>
      </c>
      <c r="G76" s="370">
        <f>SUM(G71:G75)</f>
        <v>0</v>
      </c>
      <c r="H76" s="370">
        <f t="shared" si="30"/>
        <v>0</v>
      </c>
      <c r="I76" s="370">
        <f t="shared" si="30"/>
        <v>0</v>
      </c>
      <c r="J76" s="370">
        <f t="shared" si="30"/>
        <v>0</v>
      </c>
      <c r="K76" s="370">
        <f t="shared" si="30"/>
        <v>0</v>
      </c>
      <c r="L76" s="370">
        <f t="shared" si="30"/>
        <v>0</v>
      </c>
      <c r="M76" s="370">
        <f t="shared" si="30"/>
        <v>0</v>
      </c>
      <c r="N76" s="370">
        <f t="shared" si="30"/>
        <v>0</v>
      </c>
      <c r="O76" s="370">
        <f t="shared" si="30"/>
        <v>0</v>
      </c>
      <c r="P76" s="370">
        <f t="shared" si="30"/>
        <v>0</v>
      </c>
      <c r="Q76" s="370">
        <f t="shared" si="30"/>
        <v>0</v>
      </c>
      <c r="R76" s="370">
        <f>SUM(R71:R75)</f>
        <v>388629</v>
      </c>
      <c r="S76" s="372"/>
      <c r="T76" s="372"/>
      <c r="U76" s="367"/>
    </row>
    <row r="77" spans="1:21" s="368" customFormat="1" ht="11.85" customHeight="1">
      <c r="A77" s="365" t="s">
        <v>1973</v>
      </c>
      <c r="B77" s="375"/>
      <c r="C77" s="375"/>
      <c r="D77" s="375"/>
      <c r="E77" s="375"/>
      <c r="F77" s="375"/>
      <c r="G77" s="375"/>
      <c r="H77" s="375"/>
      <c r="I77" s="375"/>
      <c r="J77" s="375"/>
      <c r="K77" s="375"/>
      <c r="L77" s="375"/>
      <c r="M77" s="375"/>
      <c r="N77" s="375"/>
      <c r="O77" s="375"/>
      <c r="P77" s="375"/>
      <c r="Q77" s="375"/>
      <c r="R77" s="375"/>
      <c r="S77" s="375"/>
      <c r="T77" s="375"/>
      <c r="U77" s="367"/>
    </row>
    <row r="78" spans="1:21" s="368" customFormat="1" ht="11.4">
      <c r="A78" s="369" t="s">
        <v>1971</v>
      </c>
      <c r="B78" s="370">
        <f>SUM(C78+D78)</f>
        <v>870384</v>
      </c>
      <c r="C78" s="371">
        <v>859701</v>
      </c>
      <c r="D78" s="371">
        <v>10683</v>
      </c>
      <c r="E78" s="371">
        <f t="shared" ref="E78:E79" si="31">B78-SUM(F78:Q78)</f>
        <v>870384</v>
      </c>
      <c r="F78" s="371"/>
      <c r="G78" s="371"/>
      <c r="H78" s="371"/>
      <c r="I78" s="371"/>
      <c r="J78" s="371"/>
      <c r="K78" s="371"/>
      <c r="L78" s="371"/>
      <c r="M78" s="371"/>
      <c r="N78" s="371"/>
      <c r="O78" s="371"/>
      <c r="P78" s="371"/>
      <c r="Q78" s="371"/>
      <c r="R78" s="371">
        <f>SUM(E78:Q78)</f>
        <v>870384</v>
      </c>
      <c r="S78" s="371">
        <f t="shared" ref="S78:S79" si="32">C78</f>
        <v>859701</v>
      </c>
      <c r="T78" s="371"/>
      <c r="U78" s="367"/>
    </row>
    <row r="79" spans="1:21" s="368" customFormat="1" ht="11.4">
      <c r="A79" s="369" t="s">
        <v>597</v>
      </c>
      <c r="B79" s="370">
        <f>SUM(C79+D79)</f>
        <v>124759</v>
      </c>
      <c r="C79" s="371">
        <v>124759</v>
      </c>
      <c r="D79" s="371"/>
      <c r="E79" s="371">
        <f t="shared" si="31"/>
        <v>124759</v>
      </c>
      <c r="F79" s="371"/>
      <c r="G79" s="371"/>
      <c r="H79" s="371"/>
      <c r="I79" s="371"/>
      <c r="J79" s="371"/>
      <c r="K79" s="371"/>
      <c r="L79" s="371"/>
      <c r="M79" s="371"/>
      <c r="N79" s="371"/>
      <c r="O79" s="371"/>
      <c r="P79" s="371"/>
      <c r="Q79" s="371"/>
      <c r="R79" s="371">
        <f>SUM(E79:Q79)</f>
        <v>124759</v>
      </c>
      <c r="S79" s="371">
        <f t="shared" si="32"/>
        <v>124759</v>
      </c>
      <c r="T79" s="371"/>
      <c r="U79" s="367"/>
    </row>
    <row r="80" spans="1:21" s="368" customFormat="1">
      <c r="A80" s="373" t="s">
        <v>1972</v>
      </c>
      <c r="B80" s="370">
        <f>SUM(C80:D80)</f>
        <v>995143</v>
      </c>
      <c r="C80" s="1125">
        <f>SUM(C78:C79)</f>
        <v>984460</v>
      </c>
      <c r="D80" s="1125">
        <f t="shared" ref="D80:R80" si="33">SUM(D78:D79)</f>
        <v>10683</v>
      </c>
      <c r="E80" s="1125">
        <f t="shared" si="33"/>
        <v>995143</v>
      </c>
      <c r="F80" s="1125">
        <f t="shared" si="33"/>
        <v>0</v>
      </c>
      <c r="G80" s="1125">
        <f t="shared" si="33"/>
        <v>0</v>
      </c>
      <c r="H80" s="1125">
        <f t="shared" si="33"/>
        <v>0</v>
      </c>
      <c r="I80" s="1125">
        <f t="shared" si="33"/>
        <v>0</v>
      </c>
      <c r="J80" s="1125">
        <f t="shared" si="33"/>
        <v>0</v>
      </c>
      <c r="K80" s="1125">
        <f t="shared" si="33"/>
        <v>0</v>
      </c>
      <c r="L80" s="1125">
        <f t="shared" si="33"/>
        <v>0</v>
      </c>
      <c r="M80" s="1125">
        <f t="shared" si="33"/>
        <v>0</v>
      </c>
      <c r="N80" s="1125">
        <f t="shared" si="33"/>
        <v>0</v>
      </c>
      <c r="O80" s="1125">
        <f t="shared" si="33"/>
        <v>0</v>
      </c>
      <c r="P80" s="1125">
        <f t="shared" si="33"/>
        <v>0</v>
      </c>
      <c r="Q80" s="1125">
        <f t="shared" si="33"/>
        <v>0</v>
      </c>
      <c r="R80" s="1125">
        <f t="shared" si="33"/>
        <v>995143</v>
      </c>
      <c r="S80" s="1125">
        <f t="shared" ref="S80" si="34">SUM(S78:S79)</f>
        <v>984460</v>
      </c>
      <c r="T80" s="1125">
        <f t="shared" ref="T80" si="35">SUM(T78:T79)</f>
        <v>0</v>
      </c>
      <c r="U80" s="367"/>
    </row>
    <row r="81" spans="1:21" s="368" customFormat="1" ht="11.4">
      <c r="A81" s="365" t="s">
        <v>573</v>
      </c>
      <c r="B81" s="375"/>
      <c r="C81" s="375"/>
      <c r="D81" s="375"/>
      <c r="E81" s="375"/>
      <c r="F81" s="375"/>
      <c r="G81" s="375"/>
      <c r="H81" s="375"/>
      <c r="I81" s="375"/>
      <c r="J81" s="375"/>
      <c r="K81" s="375"/>
      <c r="L81" s="375"/>
      <c r="M81" s="375"/>
      <c r="N81" s="375"/>
      <c r="O81" s="375"/>
      <c r="P81" s="375"/>
      <c r="Q81" s="375"/>
      <c r="R81" s="375"/>
      <c r="S81" s="375"/>
      <c r="T81" s="375"/>
      <c r="U81" s="367"/>
    </row>
    <row r="82" spans="1:21" s="368" customFormat="1" ht="14.1" customHeight="1">
      <c r="A82" s="369" t="s">
        <v>574</v>
      </c>
      <c r="B82" s="370">
        <f>SUM(C82+D82)</f>
        <v>96365</v>
      </c>
      <c r="C82" s="371">
        <v>96365</v>
      </c>
      <c r="D82" s="371"/>
      <c r="E82" s="371">
        <f t="shared" ref="E82:E94" si="36">B82-SUM(F82:Q82)</f>
        <v>96365</v>
      </c>
      <c r="F82" s="371"/>
      <c r="G82" s="371"/>
      <c r="H82" s="371"/>
      <c r="I82" s="371"/>
      <c r="J82" s="371"/>
      <c r="K82" s="371"/>
      <c r="L82" s="371"/>
      <c r="M82" s="371"/>
      <c r="N82" s="371"/>
      <c r="O82" s="371"/>
      <c r="P82" s="371"/>
      <c r="Q82" s="371"/>
      <c r="R82" s="371">
        <f>SUM(E82:Q82)</f>
        <v>96365</v>
      </c>
      <c r="S82" s="372"/>
      <c r="T82" s="372"/>
      <c r="U82" s="367"/>
    </row>
    <row r="83" spans="1:21" s="368" customFormat="1" ht="11.4">
      <c r="A83" s="369" t="s">
        <v>575</v>
      </c>
      <c r="B83" s="370">
        <f t="shared" ref="B83:B93" si="37">SUM(C83+D83)</f>
        <v>15000</v>
      </c>
      <c r="C83" s="371">
        <v>15000</v>
      </c>
      <c r="D83" s="371"/>
      <c r="E83" s="371">
        <f t="shared" si="36"/>
        <v>15000</v>
      </c>
      <c r="F83" s="371"/>
      <c r="G83" s="371"/>
      <c r="H83" s="371"/>
      <c r="I83" s="371"/>
      <c r="J83" s="371"/>
      <c r="K83" s="371"/>
      <c r="L83" s="371"/>
      <c r="M83" s="371"/>
      <c r="N83" s="371"/>
      <c r="O83" s="371"/>
      <c r="P83" s="371"/>
      <c r="Q83" s="371"/>
      <c r="R83" s="371">
        <f t="shared" ref="R83:R93" si="38">SUM(E83:Q83)</f>
        <v>15000</v>
      </c>
      <c r="S83" s="371">
        <f t="shared" ref="S83:S85" si="39">C83</f>
        <v>15000</v>
      </c>
      <c r="T83" s="371"/>
      <c r="U83" s="367"/>
    </row>
    <row r="84" spans="1:21" s="368" customFormat="1" ht="11.4">
      <c r="A84" s="369" t="s">
        <v>576</v>
      </c>
      <c r="B84" s="370">
        <f t="shared" si="37"/>
        <v>411125</v>
      </c>
      <c r="C84" s="371">
        <v>411125</v>
      </c>
      <c r="D84" s="371"/>
      <c r="E84" s="371">
        <f t="shared" si="36"/>
        <v>411125</v>
      </c>
      <c r="F84" s="371"/>
      <c r="G84" s="371"/>
      <c r="H84" s="371"/>
      <c r="I84" s="371"/>
      <c r="J84" s="371"/>
      <c r="K84" s="371"/>
      <c r="L84" s="371"/>
      <c r="M84" s="371"/>
      <c r="N84" s="371"/>
      <c r="O84" s="371"/>
      <c r="P84" s="371"/>
      <c r="Q84" s="371"/>
      <c r="R84" s="371">
        <f t="shared" si="38"/>
        <v>411125</v>
      </c>
      <c r="S84" s="371">
        <f t="shared" si="39"/>
        <v>411125</v>
      </c>
      <c r="T84" s="371"/>
      <c r="U84" s="367"/>
    </row>
    <row r="85" spans="1:21" s="368" customFormat="1" ht="11.4">
      <c r="A85" s="369" t="s">
        <v>577</v>
      </c>
      <c r="B85" s="370">
        <f t="shared" si="37"/>
        <v>80000</v>
      </c>
      <c r="C85" s="371">
        <v>79018</v>
      </c>
      <c r="D85" s="371">
        <v>982</v>
      </c>
      <c r="E85" s="371">
        <f t="shared" si="36"/>
        <v>80000</v>
      </c>
      <c r="F85" s="371"/>
      <c r="G85" s="371"/>
      <c r="H85" s="371"/>
      <c r="I85" s="371"/>
      <c r="J85" s="371"/>
      <c r="K85" s="371"/>
      <c r="L85" s="371"/>
      <c r="M85" s="371"/>
      <c r="N85" s="371"/>
      <c r="O85" s="371"/>
      <c r="P85" s="371"/>
      <c r="Q85" s="371"/>
      <c r="R85" s="371">
        <f t="shared" si="38"/>
        <v>80000</v>
      </c>
      <c r="S85" s="371">
        <f t="shared" si="39"/>
        <v>79018</v>
      </c>
      <c r="T85" s="371"/>
      <c r="U85" s="367"/>
    </row>
    <row r="86" spans="1:21" s="368" customFormat="1" ht="11.4">
      <c r="A86" s="369" t="s">
        <v>578</v>
      </c>
      <c r="B86" s="370">
        <f t="shared" si="37"/>
        <v>0</v>
      </c>
      <c r="C86" s="371"/>
      <c r="D86" s="371"/>
      <c r="E86" s="371">
        <f t="shared" si="36"/>
        <v>0</v>
      </c>
      <c r="F86" s="371"/>
      <c r="G86" s="371"/>
      <c r="H86" s="371"/>
      <c r="I86" s="371"/>
      <c r="J86" s="371"/>
      <c r="K86" s="371"/>
      <c r="L86" s="371"/>
      <c r="M86" s="371"/>
      <c r="N86" s="371"/>
      <c r="O86" s="371"/>
      <c r="P86" s="371"/>
      <c r="Q86" s="371"/>
      <c r="R86" s="371">
        <f t="shared" si="38"/>
        <v>0</v>
      </c>
      <c r="S86" s="371"/>
      <c r="T86" s="371"/>
      <c r="U86" s="367"/>
    </row>
    <row r="87" spans="1:21" s="368" customFormat="1" ht="11.4">
      <c r="A87" s="369" t="s">
        <v>579</v>
      </c>
      <c r="B87" s="370">
        <f t="shared" si="37"/>
        <v>50000</v>
      </c>
      <c r="C87" s="371">
        <f>25000+25000</f>
        <v>50000</v>
      </c>
      <c r="D87" s="371"/>
      <c r="E87" s="371">
        <f t="shared" si="36"/>
        <v>50000</v>
      </c>
      <c r="F87" s="371"/>
      <c r="G87" s="371"/>
      <c r="H87" s="371"/>
      <c r="I87" s="371"/>
      <c r="J87" s="371"/>
      <c r="K87" s="371"/>
      <c r="L87" s="371"/>
      <c r="M87" s="371"/>
      <c r="N87" s="371"/>
      <c r="O87" s="371"/>
      <c r="P87" s="371"/>
      <c r="Q87" s="371"/>
      <c r="R87" s="371">
        <f t="shared" si="38"/>
        <v>50000</v>
      </c>
      <c r="S87" s="372"/>
      <c r="T87" s="372"/>
      <c r="U87" s="367"/>
    </row>
    <row r="88" spans="1:21" s="368" customFormat="1" ht="11.4">
      <c r="A88" s="369" t="s">
        <v>580</v>
      </c>
      <c r="B88" s="370">
        <f t="shared" si="37"/>
        <v>75000</v>
      </c>
      <c r="C88" s="371">
        <v>75000</v>
      </c>
      <c r="D88" s="371"/>
      <c r="E88" s="371">
        <f t="shared" si="36"/>
        <v>75000</v>
      </c>
      <c r="F88" s="371"/>
      <c r="G88" s="371"/>
      <c r="H88" s="371"/>
      <c r="I88" s="371"/>
      <c r="J88" s="371"/>
      <c r="K88" s="371"/>
      <c r="L88" s="371"/>
      <c r="M88" s="371"/>
      <c r="N88" s="371"/>
      <c r="O88" s="371"/>
      <c r="P88" s="371"/>
      <c r="Q88" s="371"/>
      <c r="R88" s="371">
        <f t="shared" si="38"/>
        <v>75000</v>
      </c>
      <c r="S88" s="371">
        <f t="shared" ref="S88" si="40">C88</f>
        <v>75000</v>
      </c>
      <c r="T88" s="371"/>
      <c r="U88" s="367"/>
    </row>
    <row r="89" spans="1:21" s="368" customFormat="1" ht="11.4">
      <c r="A89" s="369" t="s">
        <v>581</v>
      </c>
      <c r="B89" s="370">
        <f t="shared" si="37"/>
        <v>9000</v>
      </c>
      <c r="C89" s="371">
        <v>9000</v>
      </c>
      <c r="D89" s="371"/>
      <c r="E89" s="371">
        <f t="shared" si="36"/>
        <v>9000</v>
      </c>
      <c r="F89" s="371"/>
      <c r="G89" s="371"/>
      <c r="H89" s="371"/>
      <c r="I89" s="371"/>
      <c r="J89" s="371"/>
      <c r="K89" s="371"/>
      <c r="L89" s="371"/>
      <c r="M89" s="371"/>
      <c r="N89" s="371"/>
      <c r="O89" s="371"/>
      <c r="P89" s="371"/>
      <c r="Q89" s="371"/>
      <c r="R89" s="371">
        <f t="shared" si="38"/>
        <v>9000</v>
      </c>
      <c r="S89" s="371"/>
      <c r="T89" s="371"/>
      <c r="U89" s="367"/>
    </row>
    <row r="90" spans="1:21" s="368" customFormat="1" ht="11.4">
      <c r="A90" s="380" t="s">
        <v>1456</v>
      </c>
      <c r="B90" s="370">
        <f t="shared" si="37"/>
        <v>25000</v>
      </c>
      <c r="C90" s="371">
        <v>25000</v>
      </c>
      <c r="D90" s="371"/>
      <c r="E90" s="371">
        <f t="shared" si="36"/>
        <v>25000</v>
      </c>
      <c r="F90" s="371"/>
      <c r="G90" s="371"/>
      <c r="H90" s="371"/>
      <c r="I90" s="371"/>
      <c r="J90" s="371"/>
      <c r="K90" s="371"/>
      <c r="L90" s="371"/>
      <c r="M90" s="371"/>
      <c r="N90" s="371"/>
      <c r="O90" s="371"/>
      <c r="P90" s="371"/>
      <c r="Q90" s="371"/>
      <c r="R90" s="371">
        <f t="shared" si="38"/>
        <v>25000</v>
      </c>
      <c r="S90" s="371">
        <f t="shared" ref="S90:S93" si="41">C90</f>
        <v>25000</v>
      </c>
      <c r="T90" s="371"/>
      <c r="U90" s="367"/>
    </row>
    <row r="91" spans="1:21" s="368" customFormat="1" ht="11.4">
      <c r="A91" s="380" t="s">
        <v>1970</v>
      </c>
      <c r="B91" s="370">
        <f t="shared" si="37"/>
        <v>14500</v>
      </c>
      <c r="C91" s="371">
        <v>14500</v>
      </c>
      <c r="D91" s="371"/>
      <c r="E91" s="371">
        <f t="shared" si="36"/>
        <v>14500</v>
      </c>
      <c r="F91" s="371"/>
      <c r="G91" s="371"/>
      <c r="H91" s="371"/>
      <c r="I91" s="371"/>
      <c r="J91" s="371"/>
      <c r="K91" s="371"/>
      <c r="L91" s="371"/>
      <c r="M91" s="371"/>
      <c r="N91" s="371"/>
      <c r="O91" s="371"/>
      <c r="P91" s="371"/>
      <c r="Q91" s="371"/>
      <c r="R91" s="371">
        <f t="shared" si="38"/>
        <v>14500</v>
      </c>
      <c r="S91" s="371">
        <f t="shared" si="41"/>
        <v>14500</v>
      </c>
      <c r="T91" s="371"/>
      <c r="U91" s="367"/>
    </row>
    <row r="92" spans="1:21" s="368" customFormat="1" ht="11.4">
      <c r="A92" s="376" t="s">
        <v>2492</v>
      </c>
      <c r="B92" s="370">
        <f t="shared" si="37"/>
        <v>15000</v>
      </c>
      <c r="C92" s="371">
        <v>14816</v>
      </c>
      <c r="D92" s="371">
        <v>184</v>
      </c>
      <c r="E92" s="371">
        <f t="shared" si="36"/>
        <v>15000</v>
      </c>
      <c r="F92" s="371"/>
      <c r="G92" s="371"/>
      <c r="H92" s="371"/>
      <c r="I92" s="371"/>
      <c r="J92" s="371"/>
      <c r="K92" s="371"/>
      <c r="L92" s="371"/>
      <c r="M92" s="371"/>
      <c r="N92" s="371"/>
      <c r="O92" s="371"/>
      <c r="P92" s="371"/>
      <c r="Q92" s="371"/>
      <c r="R92" s="371">
        <f t="shared" si="38"/>
        <v>15000</v>
      </c>
      <c r="S92" s="371"/>
      <c r="T92" s="371"/>
      <c r="U92" s="367"/>
    </row>
    <row r="93" spans="1:21" s="368" customFormat="1" ht="11.4">
      <c r="A93" s="376" t="s">
        <v>2493</v>
      </c>
      <c r="B93" s="370">
        <f t="shared" si="37"/>
        <v>50000</v>
      </c>
      <c r="C93" s="371">
        <v>50000</v>
      </c>
      <c r="D93" s="371"/>
      <c r="E93" s="371">
        <f t="shared" si="36"/>
        <v>50000</v>
      </c>
      <c r="F93" s="371"/>
      <c r="G93" s="371"/>
      <c r="H93" s="371"/>
      <c r="I93" s="371"/>
      <c r="J93" s="371"/>
      <c r="K93" s="371"/>
      <c r="L93" s="371"/>
      <c r="M93" s="371"/>
      <c r="N93" s="371"/>
      <c r="O93" s="371"/>
      <c r="P93" s="371"/>
      <c r="Q93" s="371"/>
      <c r="R93" s="371">
        <f t="shared" si="38"/>
        <v>50000</v>
      </c>
      <c r="S93" s="371">
        <f t="shared" si="41"/>
        <v>50000</v>
      </c>
      <c r="T93" s="371"/>
      <c r="U93" s="367"/>
    </row>
    <row r="94" spans="1:21" s="368" customFormat="1" ht="11.4">
      <c r="A94" s="376" t="s">
        <v>592</v>
      </c>
      <c r="B94" s="370">
        <f>SUM(C94+D94)</f>
        <v>0</v>
      </c>
      <c r="C94" s="371"/>
      <c r="D94" s="371"/>
      <c r="E94" s="371">
        <f t="shared" si="36"/>
        <v>0</v>
      </c>
      <c r="F94" s="371"/>
      <c r="G94" s="371"/>
      <c r="H94" s="371"/>
      <c r="I94" s="371"/>
      <c r="J94" s="371"/>
      <c r="K94" s="371"/>
      <c r="L94" s="371"/>
      <c r="M94" s="371"/>
      <c r="N94" s="371"/>
      <c r="O94" s="371"/>
      <c r="P94" s="371"/>
      <c r="Q94" s="371"/>
      <c r="R94" s="371">
        <f>SUM(E94:Q94)</f>
        <v>0</v>
      </c>
      <c r="S94" s="371"/>
      <c r="T94" s="371"/>
      <c r="U94" s="367"/>
    </row>
    <row r="95" spans="1:21" s="368" customFormat="1">
      <c r="A95" s="373" t="s">
        <v>582</v>
      </c>
      <c r="B95" s="370">
        <f>SUM(C95:D95)</f>
        <v>840990</v>
      </c>
      <c r="C95" s="370">
        <f t="shared" ref="C95:R95" si="42">SUM(C82:C94)</f>
        <v>839824</v>
      </c>
      <c r="D95" s="370">
        <f t="shared" si="42"/>
        <v>1166</v>
      </c>
      <c r="E95" s="370">
        <f t="shared" si="42"/>
        <v>840990</v>
      </c>
      <c r="F95" s="370">
        <f t="shared" si="42"/>
        <v>0</v>
      </c>
      <c r="G95" s="370">
        <f t="shared" si="42"/>
        <v>0</v>
      </c>
      <c r="H95" s="370">
        <f t="shared" si="42"/>
        <v>0</v>
      </c>
      <c r="I95" s="370">
        <f t="shared" si="42"/>
        <v>0</v>
      </c>
      <c r="J95" s="370">
        <f t="shared" si="42"/>
        <v>0</v>
      </c>
      <c r="K95" s="370">
        <f t="shared" si="42"/>
        <v>0</v>
      </c>
      <c r="L95" s="370">
        <f t="shared" si="42"/>
        <v>0</v>
      </c>
      <c r="M95" s="370">
        <f t="shared" si="42"/>
        <v>0</v>
      </c>
      <c r="N95" s="370">
        <f t="shared" si="42"/>
        <v>0</v>
      </c>
      <c r="O95" s="370">
        <f t="shared" si="42"/>
        <v>0</v>
      </c>
      <c r="P95" s="370">
        <f t="shared" si="42"/>
        <v>0</v>
      </c>
      <c r="Q95" s="370">
        <f t="shared" si="42"/>
        <v>0</v>
      </c>
      <c r="R95" s="370">
        <f t="shared" si="42"/>
        <v>840990</v>
      </c>
      <c r="S95" s="374">
        <f>SUM(S83:S86,S88:S94)</f>
        <v>669643</v>
      </c>
      <c r="T95" s="370">
        <f>SUM(T83:T86,T88:T94)</f>
        <v>0</v>
      </c>
      <c r="U95" s="367"/>
    </row>
    <row r="96" spans="1:21" s="368" customFormat="1">
      <c r="A96" s="373" t="s">
        <v>583</v>
      </c>
      <c r="B96" s="370">
        <f>SUM(C96:D96)</f>
        <v>21907565</v>
      </c>
      <c r="C96" s="370">
        <f t="shared" ref="C96:R96" si="43">SUM(C62+C69+C76+C80+C95)</f>
        <v>21174485</v>
      </c>
      <c r="D96" s="370">
        <f t="shared" si="43"/>
        <v>733080</v>
      </c>
      <c r="E96" s="370">
        <f t="shared" si="43"/>
        <v>13941068</v>
      </c>
      <c r="F96" s="370">
        <f t="shared" si="43"/>
        <v>1633112</v>
      </c>
      <c r="G96" s="370">
        <f t="shared" si="43"/>
        <v>0</v>
      </c>
      <c r="H96" s="370">
        <f t="shared" si="43"/>
        <v>1000000</v>
      </c>
      <c r="I96" s="370">
        <f t="shared" si="43"/>
        <v>1833700</v>
      </c>
      <c r="J96" s="370">
        <f t="shared" si="43"/>
        <v>3499685</v>
      </c>
      <c r="K96" s="370">
        <f t="shared" si="43"/>
        <v>0</v>
      </c>
      <c r="L96" s="370">
        <f t="shared" si="43"/>
        <v>0</v>
      </c>
      <c r="M96" s="370">
        <f t="shared" si="43"/>
        <v>0</v>
      </c>
      <c r="N96" s="370">
        <f t="shared" si="43"/>
        <v>0</v>
      </c>
      <c r="O96" s="370">
        <f t="shared" si="43"/>
        <v>0</v>
      </c>
      <c r="P96" s="370">
        <f t="shared" si="43"/>
        <v>0</v>
      </c>
      <c r="Q96" s="370">
        <f t="shared" si="43"/>
        <v>0</v>
      </c>
      <c r="R96" s="370">
        <f t="shared" si="43"/>
        <v>21907565</v>
      </c>
      <c r="S96" s="374">
        <f>SUM(+S62+S69+S80+S95)</f>
        <v>19307999</v>
      </c>
      <c r="T96" s="374">
        <f>SUM(T62+T69+T80+T95)</f>
        <v>0</v>
      </c>
      <c r="U96" s="367"/>
    </row>
    <row r="97" spans="1:21" s="368" customFormat="1" ht="11.4">
      <c r="A97" s="365" t="s">
        <v>584</v>
      </c>
      <c r="B97" s="375"/>
      <c r="C97" s="375"/>
      <c r="D97" s="375"/>
      <c r="E97" s="375"/>
      <c r="F97" s="375"/>
      <c r="G97" s="375"/>
      <c r="H97" s="375"/>
      <c r="I97" s="375"/>
      <c r="J97" s="375"/>
      <c r="K97" s="375"/>
      <c r="L97" s="375"/>
      <c r="M97" s="375"/>
      <c r="N97" s="375"/>
      <c r="O97" s="375"/>
      <c r="P97" s="375"/>
      <c r="Q97" s="375"/>
      <c r="R97" s="375"/>
      <c r="S97" s="375"/>
      <c r="T97" s="375"/>
      <c r="U97" s="367"/>
    </row>
    <row r="98" spans="1:21" s="368" customFormat="1" ht="11.4">
      <c r="A98" s="369" t="s">
        <v>585</v>
      </c>
      <c r="B98" s="370">
        <f t="shared" ref="B98:B102" si="44">SUM(C98+D98)</f>
        <v>2200000</v>
      </c>
      <c r="C98" s="371">
        <v>2172996</v>
      </c>
      <c r="D98" s="371">
        <v>27004</v>
      </c>
      <c r="E98" s="371">
        <f>B98-SUM(F98:Q98)</f>
        <v>2200000</v>
      </c>
      <c r="F98" s="371"/>
      <c r="G98" s="371"/>
      <c r="H98" s="371"/>
      <c r="I98" s="371"/>
      <c r="J98" s="371"/>
      <c r="K98" s="371"/>
      <c r="L98" s="371"/>
      <c r="M98" s="371"/>
      <c r="N98" s="371"/>
      <c r="O98" s="371"/>
      <c r="P98" s="371"/>
      <c r="Q98" s="371"/>
      <c r="R98" s="371">
        <f t="shared" ref="R98:R102" si="45">SUM(E98:Q98)</f>
        <v>2200000</v>
      </c>
      <c r="S98" s="371">
        <f t="shared" ref="S98" si="46">C98</f>
        <v>2172996</v>
      </c>
      <c r="T98" s="371"/>
      <c r="U98" s="367"/>
    </row>
    <row r="99" spans="1:21" s="368" customFormat="1" ht="11.4">
      <c r="A99" s="369" t="s">
        <v>2253</v>
      </c>
      <c r="B99" s="370">
        <f t="shared" si="44"/>
        <v>0</v>
      </c>
      <c r="C99" s="371"/>
      <c r="D99" s="371"/>
      <c r="E99" s="371"/>
      <c r="F99" s="371"/>
      <c r="G99" s="371"/>
      <c r="H99" s="371"/>
      <c r="I99" s="371"/>
      <c r="J99" s="371"/>
      <c r="K99" s="371"/>
      <c r="L99" s="371"/>
      <c r="M99" s="371"/>
      <c r="N99" s="371"/>
      <c r="O99" s="371"/>
      <c r="P99" s="371"/>
      <c r="Q99" s="371"/>
      <c r="R99" s="371">
        <f t="shared" si="45"/>
        <v>0</v>
      </c>
      <c r="S99" s="371"/>
      <c r="T99" s="371"/>
      <c r="U99" s="367"/>
    </row>
    <row r="100" spans="1:21" s="368" customFormat="1" ht="12" customHeight="1">
      <c r="A100" s="369" t="s">
        <v>586</v>
      </c>
      <c r="B100" s="370">
        <f t="shared" si="44"/>
        <v>0</v>
      </c>
      <c r="C100" s="371"/>
      <c r="D100" s="371"/>
      <c r="E100" s="371"/>
      <c r="F100" s="371"/>
      <c r="G100" s="371"/>
      <c r="H100" s="371"/>
      <c r="I100" s="371"/>
      <c r="J100" s="371"/>
      <c r="K100" s="371"/>
      <c r="L100" s="371"/>
      <c r="M100" s="371"/>
      <c r="N100" s="371"/>
      <c r="O100" s="371"/>
      <c r="P100" s="371"/>
      <c r="Q100" s="371"/>
      <c r="R100" s="371">
        <f t="shared" si="45"/>
        <v>0</v>
      </c>
      <c r="S100" s="371"/>
      <c r="T100" s="371"/>
      <c r="U100" s="367"/>
    </row>
    <row r="101" spans="1:21" s="368" customFormat="1" ht="11.4">
      <c r="A101" s="369" t="s">
        <v>1375</v>
      </c>
      <c r="B101" s="370">
        <f t="shared" si="44"/>
        <v>0</v>
      </c>
      <c r="C101" s="371"/>
      <c r="D101" s="371"/>
      <c r="E101" s="371"/>
      <c r="F101" s="371"/>
      <c r="G101" s="371"/>
      <c r="H101" s="371"/>
      <c r="I101" s="371"/>
      <c r="J101" s="371"/>
      <c r="K101" s="371"/>
      <c r="L101" s="371"/>
      <c r="M101" s="371"/>
      <c r="N101" s="371"/>
      <c r="O101" s="371"/>
      <c r="P101" s="371"/>
      <c r="Q101" s="371"/>
      <c r="R101" s="371">
        <f t="shared" si="45"/>
        <v>0</v>
      </c>
      <c r="S101" s="371"/>
      <c r="T101" s="371"/>
      <c r="U101" s="367"/>
    </row>
    <row r="102" spans="1:21" s="368" customFormat="1" ht="11.4">
      <c r="A102" s="376" t="s">
        <v>592</v>
      </c>
      <c r="B102" s="370">
        <f t="shared" si="44"/>
        <v>0</v>
      </c>
      <c r="C102" s="371"/>
      <c r="D102" s="371"/>
      <c r="E102" s="371"/>
      <c r="F102" s="371"/>
      <c r="G102" s="371"/>
      <c r="H102" s="371"/>
      <c r="I102" s="371"/>
      <c r="J102" s="371"/>
      <c r="K102" s="371"/>
      <c r="L102" s="371"/>
      <c r="M102" s="371"/>
      <c r="N102" s="371"/>
      <c r="O102" s="371"/>
      <c r="P102" s="371"/>
      <c r="Q102" s="371"/>
      <c r="R102" s="371">
        <f t="shared" si="45"/>
        <v>0</v>
      </c>
      <c r="S102" s="371"/>
      <c r="T102" s="371"/>
      <c r="U102" s="367"/>
    </row>
    <row r="103" spans="1:21" s="368" customFormat="1">
      <c r="A103" s="373" t="s">
        <v>587</v>
      </c>
      <c r="B103" s="370">
        <f>SUM(C103:D103)</f>
        <v>2200000</v>
      </c>
      <c r="C103" s="370">
        <f t="shared" ref="C103:T103" si="47">SUM(C98:C102)</f>
        <v>2172996</v>
      </c>
      <c r="D103" s="370">
        <f t="shared" si="47"/>
        <v>27004</v>
      </c>
      <c r="E103" s="370">
        <f t="shared" si="47"/>
        <v>2200000</v>
      </c>
      <c r="F103" s="370">
        <f t="shared" si="47"/>
        <v>0</v>
      </c>
      <c r="G103" s="370">
        <f t="shared" si="47"/>
        <v>0</v>
      </c>
      <c r="H103" s="370">
        <f t="shared" si="47"/>
        <v>0</v>
      </c>
      <c r="I103" s="370">
        <f t="shared" si="47"/>
        <v>0</v>
      </c>
      <c r="J103" s="370">
        <f t="shared" si="47"/>
        <v>0</v>
      </c>
      <c r="K103" s="370">
        <f t="shared" si="47"/>
        <v>0</v>
      </c>
      <c r="L103" s="370">
        <f t="shared" si="47"/>
        <v>0</v>
      </c>
      <c r="M103" s="370">
        <f t="shared" si="47"/>
        <v>0</v>
      </c>
      <c r="N103" s="370">
        <f t="shared" si="47"/>
        <v>0</v>
      </c>
      <c r="O103" s="370">
        <f t="shared" si="47"/>
        <v>0</v>
      </c>
      <c r="P103" s="370">
        <f t="shared" si="47"/>
        <v>0</v>
      </c>
      <c r="Q103" s="370">
        <f t="shared" si="47"/>
        <v>0</v>
      </c>
      <c r="R103" s="370">
        <f t="shared" si="47"/>
        <v>2200000</v>
      </c>
      <c r="S103" s="374">
        <f t="shared" si="47"/>
        <v>2172996</v>
      </c>
      <c r="T103" s="374">
        <f t="shared" si="47"/>
        <v>0</v>
      </c>
      <c r="U103" s="367"/>
    </row>
    <row r="104" spans="1:21" s="368" customFormat="1">
      <c r="A104" s="373" t="s">
        <v>1283</v>
      </c>
      <c r="B104" s="374">
        <f>SUM(C104:D104)</f>
        <v>24107565</v>
      </c>
      <c r="C104" s="374">
        <f t="shared" ref="C104:R104" si="48">SUM(C96+C103)</f>
        <v>23347481</v>
      </c>
      <c r="D104" s="374">
        <f t="shared" si="48"/>
        <v>760084</v>
      </c>
      <c r="E104" s="374">
        <f t="shared" si="48"/>
        <v>16141068</v>
      </c>
      <c r="F104" s="374">
        <f t="shared" si="48"/>
        <v>1633112</v>
      </c>
      <c r="G104" s="374">
        <f t="shared" si="48"/>
        <v>0</v>
      </c>
      <c r="H104" s="374">
        <f t="shared" si="48"/>
        <v>1000000</v>
      </c>
      <c r="I104" s="374">
        <f t="shared" si="48"/>
        <v>1833700</v>
      </c>
      <c r="J104" s="374">
        <f t="shared" si="48"/>
        <v>3499685</v>
      </c>
      <c r="K104" s="374">
        <f t="shared" si="48"/>
        <v>0</v>
      </c>
      <c r="L104" s="374">
        <f t="shared" si="48"/>
        <v>0</v>
      </c>
      <c r="M104" s="374">
        <f t="shared" si="48"/>
        <v>0</v>
      </c>
      <c r="N104" s="374">
        <f t="shared" si="48"/>
        <v>0</v>
      </c>
      <c r="O104" s="374">
        <f t="shared" si="48"/>
        <v>0</v>
      </c>
      <c r="P104" s="374">
        <f t="shared" si="48"/>
        <v>0</v>
      </c>
      <c r="Q104" s="374">
        <f t="shared" si="48"/>
        <v>0</v>
      </c>
      <c r="R104" s="370">
        <f t="shared" si="48"/>
        <v>24107565</v>
      </c>
      <c r="S104" s="374">
        <f>S96+S103</f>
        <v>21480995</v>
      </c>
      <c r="T104" s="374">
        <f>T96+T103</f>
        <v>0</v>
      </c>
      <c r="U104" s="367"/>
    </row>
    <row r="105" spans="1:21" s="383" customFormat="1">
      <c r="A105" s="1312" t="s">
        <v>1452</v>
      </c>
      <c r="B105" s="382"/>
      <c r="C105" s="382"/>
      <c r="D105" s="382"/>
      <c r="H105" s="384" t="s">
        <v>493</v>
      </c>
      <c r="I105" s="384"/>
      <c r="J105" s="384"/>
      <c r="R105" s="385" t="s">
        <v>494</v>
      </c>
      <c r="S105" s="371"/>
      <c r="T105" s="371"/>
      <c r="U105" s="386"/>
    </row>
    <row r="106" spans="1:21" s="383" customFormat="1">
      <c r="A106" s="384" t="s">
        <v>342</v>
      </c>
      <c r="C106" s="382"/>
      <c r="D106" s="382"/>
      <c r="I106" s="387" t="s">
        <v>595</v>
      </c>
      <c r="J106" s="387"/>
      <c r="R106" s="385" t="s">
        <v>495</v>
      </c>
      <c r="S106" s="388">
        <f>S104+S105</f>
        <v>21480995</v>
      </c>
      <c r="T106" s="388">
        <f>T104+T105</f>
        <v>0</v>
      </c>
      <c r="U106" s="386"/>
    </row>
    <row r="107" spans="1:21" s="389" customFormat="1">
      <c r="A107" s="387" t="s">
        <v>1226</v>
      </c>
      <c r="B107" s="382"/>
      <c r="C107" s="382"/>
      <c r="D107" s="382"/>
      <c r="E107" s="654">
        <f>Application!AO643</f>
        <v>16141068</v>
      </c>
      <c r="F107" s="654">
        <f>Application!AO630</f>
        <v>1633112</v>
      </c>
      <c r="G107" s="654">
        <f>Application!AO631</f>
        <v>0</v>
      </c>
      <c r="H107" s="654">
        <f>Application!AO632</f>
        <v>1000000</v>
      </c>
      <c r="I107" s="654">
        <f>Application!AO633</f>
        <v>1833700</v>
      </c>
      <c r="J107" s="654">
        <f>Application!AO634</f>
        <v>3499685</v>
      </c>
      <c r="K107" s="654">
        <f>Application!AO635</f>
        <v>0</v>
      </c>
      <c r="L107" s="654">
        <f>Application!AO636</f>
        <v>0</v>
      </c>
      <c r="M107" s="654">
        <f>Application!AO637</f>
        <v>0</v>
      </c>
      <c r="N107" s="654">
        <f>Application!AO638</f>
        <v>0</v>
      </c>
      <c r="O107" s="654">
        <f>Application!AO639</f>
        <v>0</v>
      </c>
      <c r="P107" s="654">
        <f>Application!AO640</f>
        <v>0</v>
      </c>
      <c r="Q107" s="654">
        <f>Application!AO641</f>
        <v>0</v>
      </c>
      <c r="R107" s="653"/>
      <c r="S107" s="383"/>
      <c r="T107" s="383"/>
      <c r="U107" s="470"/>
    </row>
    <row r="108" spans="1:21" s="389" customFormat="1">
      <c r="A108" s="387"/>
      <c r="B108" s="382"/>
      <c r="C108" s="382"/>
      <c r="D108" s="382"/>
      <c r="E108" s="653"/>
      <c r="F108" s="653"/>
      <c r="G108" s="653"/>
      <c r="H108" s="653"/>
      <c r="I108" s="653"/>
      <c r="J108" s="653"/>
      <c r="K108" s="653"/>
      <c r="L108" s="653"/>
      <c r="M108" s="653"/>
      <c r="N108" s="653"/>
      <c r="O108" s="653"/>
      <c r="P108" s="653"/>
      <c r="Q108" s="653"/>
      <c r="R108" s="653"/>
      <c r="S108" s="383"/>
      <c r="T108" s="383"/>
      <c r="U108" s="470"/>
    </row>
    <row r="109" spans="1:21" s="389" customFormat="1" ht="13.2">
      <c r="A109" s="761" t="s">
        <v>1347</v>
      </c>
      <c r="B109" s="382"/>
      <c r="C109" s="382"/>
      <c r="D109" s="382"/>
      <c r="E109" s="653"/>
      <c r="F109" s="653"/>
      <c r="G109" s="653"/>
      <c r="H109" s="653"/>
      <c r="I109" s="653"/>
      <c r="J109" s="653"/>
      <c r="K109" s="653"/>
      <c r="L109" s="653"/>
      <c r="M109" s="653"/>
      <c r="N109" s="653"/>
      <c r="O109" s="653"/>
      <c r="P109" s="653"/>
      <c r="Q109" s="653"/>
      <c r="R109" s="653"/>
      <c r="S109" s="383"/>
      <c r="T109" s="383"/>
      <c r="U109" s="470"/>
    </row>
    <row r="110" spans="1:21" s="389" customFormat="1" ht="13.2">
      <c r="A110" s="569" t="s">
        <v>1348</v>
      </c>
      <c r="B110" s="382"/>
      <c r="C110" s="382"/>
      <c r="D110" s="382"/>
      <c r="E110" s="383"/>
      <c r="F110" s="383"/>
      <c r="G110" s="383"/>
      <c r="H110" s="383"/>
      <c r="I110" s="383"/>
      <c r="J110" s="383"/>
      <c r="K110" s="383"/>
      <c r="L110" s="383"/>
      <c r="M110" s="383"/>
      <c r="N110" s="383"/>
      <c r="O110" s="383"/>
      <c r="P110" s="383"/>
      <c r="Q110" s="383"/>
      <c r="R110" s="383"/>
      <c r="S110" s="383"/>
      <c r="T110" s="383"/>
      <c r="U110" s="470"/>
    </row>
    <row r="111" spans="1:21" s="389" customFormat="1" ht="13.2">
      <c r="A111" s="569"/>
      <c r="B111" s="382"/>
      <c r="C111" s="382"/>
      <c r="D111" s="382"/>
      <c r="E111" s="383"/>
      <c r="F111" s="383"/>
      <c r="G111" s="383"/>
      <c r="H111" s="383"/>
      <c r="I111" s="383"/>
      <c r="J111" s="383"/>
      <c r="K111" s="383"/>
      <c r="L111" s="383"/>
      <c r="M111" s="383"/>
      <c r="N111" s="383"/>
      <c r="O111" s="383"/>
      <c r="P111" s="383"/>
      <c r="Q111" s="383"/>
      <c r="R111" s="383"/>
      <c r="S111" s="383"/>
      <c r="T111" s="383"/>
      <c r="U111" s="470"/>
    </row>
    <row r="112" spans="1:21" s="389" customFormat="1" ht="15.6">
      <c r="A112" s="473" t="s">
        <v>1450</v>
      </c>
      <c r="B112" s="382"/>
      <c r="C112" s="382"/>
      <c r="D112" s="382"/>
      <c r="E112" s="383"/>
      <c r="F112" s="383"/>
      <c r="G112" s="383"/>
      <c r="H112" s="383"/>
      <c r="I112" s="383"/>
      <c r="J112" s="383"/>
      <c r="K112" s="383"/>
      <c r="L112" s="383"/>
      <c r="M112" s="383"/>
      <c r="N112" s="383"/>
      <c r="O112" s="383"/>
      <c r="P112" s="383"/>
      <c r="Q112" s="383"/>
      <c r="R112" s="383"/>
      <c r="S112" s="383"/>
      <c r="T112" s="383"/>
      <c r="U112" s="470"/>
    </row>
    <row r="113" spans="1:21" s="368" customFormat="1" ht="13.2">
      <c r="A113" s="569" t="s">
        <v>1451</v>
      </c>
      <c r="B113" s="383"/>
      <c r="C113" s="383"/>
      <c r="D113" s="383"/>
      <c r="E113" s="383"/>
      <c r="F113" s="383"/>
      <c r="G113" s="383"/>
      <c r="H113" s="383"/>
      <c r="I113" s="383"/>
      <c r="J113" s="383"/>
      <c r="K113" s="383"/>
      <c r="L113" s="383"/>
      <c r="M113" s="383"/>
      <c r="N113" s="383"/>
      <c r="O113" s="383"/>
      <c r="P113" s="383"/>
      <c r="Q113" s="383"/>
      <c r="R113" s="383"/>
      <c r="S113" s="383"/>
      <c r="T113" s="383"/>
      <c r="U113" s="471"/>
    </row>
    <row r="114" spans="1:21" s="763" customFormat="1" ht="15.6">
      <c r="A114" s="473" t="s">
        <v>77</v>
      </c>
      <c r="B114" s="383"/>
      <c r="C114" s="383"/>
      <c r="D114" s="383"/>
      <c r="E114" s="383"/>
      <c r="F114" s="383"/>
      <c r="G114" s="383"/>
      <c r="H114" s="383"/>
      <c r="I114" s="383"/>
      <c r="J114" s="383"/>
      <c r="K114" s="383"/>
      <c r="L114" s="383"/>
      <c r="M114" s="383"/>
      <c r="N114" s="383"/>
      <c r="O114" s="383"/>
      <c r="P114" s="383"/>
      <c r="Q114" s="383"/>
      <c r="R114" s="383"/>
      <c r="S114" s="383"/>
      <c r="T114" s="383"/>
      <c r="U114" s="762"/>
    </row>
    <row r="115" spans="1:21" s="383" customFormat="1" ht="15.6">
      <c r="A115" s="473"/>
      <c r="U115" s="386"/>
    </row>
    <row r="116" spans="1:21" s="389" customFormat="1">
      <c r="A116" s="892" t="s">
        <v>1454</v>
      </c>
      <c r="B116" s="382"/>
      <c r="C116" s="382"/>
      <c r="D116" s="382"/>
      <c r="E116" s="383"/>
      <c r="F116" s="383"/>
      <c r="G116" s="383"/>
      <c r="H116" s="383"/>
      <c r="I116" s="383"/>
      <c r="J116" s="383"/>
      <c r="K116" s="383"/>
      <c r="L116" s="383"/>
      <c r="M116" s="383"/>
      <c r="N116" s="383"/>
      <c r="O116" s="383"/>
      <c r="P116" s="383"/>
      <c r="Q116" s="383"/>
      <c r="R116" s="383"/>
      <c r="S116" s="383"/>
      <c r="T116" s="383"/>
      <c r="U116" s="470"/>
    </row>
    <row r="117" spans="1:21" s="368" customFormat="1">
      <c r="A117" s="892" t="s">
        <v>2031</v>
      </c>
      <c r="B117" s="383"/>
      <c r="C117" s="383"/>
      <c r="D117" s="383"/>
      <c r="E117" s="383"/>
      <c r="F117" s="383"/>
      <c r="G117" s="383"/>
      <c r="H117" s="383"/>
      <c r="I117" s="383"/>
      <c r="J117" s="383"/>
      <c r="K117" s="383"/>
      <c r="L117" s="383"/>
      <c r="M117" s="383"/>
      <c r="N117" s="383"/>
      <c r="O117" s="383"/>
      <c r="P117" s="383"/>
      <c r="Q117" s="383"/>
      <c r="R117" s="383"/>
      <c r="S117" s="383"/>
      <c r="T117" s="383"/>
      <c r="U117" s="471"/>
    </row>
    <row r="118" spans="1:21" s="763" customFormat="1">
      <c r="A118" s="892" t="s">
        <v>1453</v>
      </c>
      <c r="B118" s="383"/>
      <c r="C118" s="383"/>
      <c r="D118" s="383"/>
      <c r="E118" s="383"/>
      <c r="F118" s="383"/>
      <c r="G118" s="383"/>
      <c r="H118" s="383"/>
      <c r="I118" s="383"/>
      <c r="J118" s="383"/>
      <c r="K118" s="383"/>
      <c r="L118" s="383"/>
      <c r="M118" s="383"/>
      <c r="N118" s="383"/>
      <c r="O118" s="383"/>
      <c r="P118" s="383"/>
      <c r="Q118" s="383"/>
      <c r="R118" s="383"/>
      <c r="S118" s="383"/>
      <c r="T118" s="383"/>
      <c r="U118" s="762"/>
    </row>
    <row r="119" spans="1:21" s="763" customFormat="1">
      <c r="A119" s="892" t="s">
        <v>1455</v>
      </c>
      <c r="B119" s="383"/>
      <c r="C119" s="383"/>
      <c r="D119" s="383"/>
      <c r="E119" s="383"/>
      <c r="F119" s="383"/>
      <c r="G119" s="383"/>
      <c r="H119" s="383"/>
      <c r="I119" s="383"/>
      <c r="J119" s="383"/>
      <c r="K119" s="383"/>
      <c r="L119" s="383"/>
      <c r="M119" s="383"/>
      <c r="N119" s="383"/>
      <c r="O119" s="383"/>
      <c r="P119" s="383"/>
      <c r="Q119" s="383"/>
      <c r="R119" s="383"/>
      <c r="S119" s="383"/>
      <c r="T119" s="383"/>
      <c r="U119" s="762"/>
    </row>
    <row r="120" spans="1:21" s="383" customFormat="1" ht="15.6">
      <c r="A120" s="473"/>
      <c r="U120" s="386"/>
    </row>
    <row r="121" spans="1:21" s="881" customFormat="1" ht="15.6">
      <c r="A121" s="880" t="s">
        <v>1444</v>
      </c>
      <c r="U121" s="882"/>
    </row>
    <row r="122" spans="1:21" s="383" customFormat="1" ht="11.4">
      <c r="A122" s="384" t="s">
        <v>1428</v>
      </c>
      <c r="D122" s="2215" t="s">
        <v>1429</v>
      </c>
      <c r="E122" s="2215"/>
      <c r="F122" s="2215"/>
      <c r="U122" s="386"/>
    </row>
    <row r="123" spans="1:21" s="383" customFormat="1" ht="11.4">
      <c r="A123" s="383" t="s">
        <v>1430</v>
      </c>
      <c r="B123" s="870"/>
      <c r="D123" s="2205" t="s">
        <v>1457</v>
      </c>
      <c r="E123" s="2206"/>
      <c r="F123" s="2206"/>
      <c r="G123" s="2206"/>
      <c r="H123" s="2206"/>
      <c r="I123" s="2206"/>
      <c r="J123" s="2206"/>
      <c r="K123" s="2206"/>
      <c r="L123" s="2206"/>
      <c r="M123" s="2206"/>
      <c r="N123" s="2206"/>
      <c r="O123" s="2206"/>
      <c r="P123" s="2206"/>
      <c r="Q123" s="2206"/>
      <c r="R123" s="2206"/>
      <c r="S123" s="2206"/>
      <c r="U123" s="386"/>
    </row>
    <row r="124" spans="1:21" s="383" customFormat="1" ht="13.2">
      <c r="A124" s="873" t="s">
        <v>1431</v>
      </c>
      <c r="B124" s="870"/>
      <c r="C124" s="873"/>
      <c r="D124" s="2206"/>
      <c r="E124" s="2206"/>
      <c r="F124" s="2206"/>
      <c r="G124" s="2206"/>
      <c r="H124" s="2206"/>
      <c r="I124" s="2206"/>
      <c r="J124" s="2206"/>
      <c r="K124" s="2206"/>
      <c r="L124" s="2206"/>
      <c r="M124" s="2206"/>
      <c r="N124" s="2206"/>
      <c r="O124" s="2206"/>
      <c r="P124" s="2206"/>
      <c r="Q124" s="2206"/>
      <c r="R124" s="2206"/>
      <c r="S124" s="2206"/>
      <c r="U124" s="386"/>
    </row>
    <row r="125" spans="1:21" s="383" customFormat="1" ht="13.2">
      <c r="A125" s="873" t="s">
        <v>1432</v>
      </c>
      <c r="B125" s="870"/>
      <c r="C125" s="873"/>
      <c r="D125" s="2206"/>
      <c r="E125" s="2206"/>
      <c r="F125" s="2206"/>
      <c r="G125" s="2206"/>
      <c r="H125" s="2206"/>
      <c r="I125" s="2206"/>
      <c r="J125" s="2206"/>
      <c r="K125" s="2206"/>
      <c r="L125" s="2206"/>
      <c r="M125" s="2206"/>
      <c r="N125" s="2206"/>
      <c r="O125" s="2206"/>
      <c r="P125" s="2206"/>
      <c r="Q125" s="2206"/>
      <c r="R125" s="2206"/>
      <c r="S125" s="2206"/>
      <c r="U125" s="386"/>
    </row>
    <row r="126" spans="1:21" s="383" customFormat="1" ht="13.2">
      <c r="A126" s="873" t="s">
        <v>1433</v>
      </c>
      <c r="B126" s="870"/>
      <c r="C126" s="873"/>
      <c r="D126" s="872"/>
      <c r="E126" s="872"/>
      <c r="F126" s="872"/>
      <c r="G126" s="872"/>
      <c r="H126" s="872"/>
      <c r="I126" s="872"/>
      <c r="J126" s="872"/>
      <c r="K126" s="872"/>
      <c r="L126" s="872"/>
      <c r="M126" s="872"/>
      <c r="N126" s="872"/>
      <c r="O126" s="873"/>
      <c r="P126" s="873"/>
      <c r="Q126" s="873"/>
      <c r="R126" s="873"/>
      <c r="S126" s="873"/>
      <c r="U126" s="386"/>
    </row>
    <row r="127" spans="1:21" s="383" customFormat="1" ht="13.2">
      <c r="A127" s="873" t="s">
        <v>1434</v>
      </c>
      <c r="B127" s="870"/>
      <c r="C127" s="873"/>
      <c r="D127" s="872"/>
      <c r="E127" s="872"/>
      <c r="F127" s="872"/>
      <c r="G127" s="872"/>
      <c r="H127" s="872"/>
      <c r="I127" s="872"/>
      <c r="J127" s="872"/>
      <c r="K127" s="872"/>
      <c r="L127" s="872"/>
      <c r="M127" s="872"/>
      <c r="N127" s="872"/>
      <c r="O127" s="873"/>
      <c r="P127" s="873"/>
      <c r="Q127" s="873"/>
      <c r="R127" s="873"/>
      <c r="S127" s="873"/>
      <c r="U127" s="386"/>
    </row>
    <row r="128" spans="1:21" s="383" customFormat="1" ht="13.2">
      <c r="A128" s="873" t="s">
        <v>1435</v>
      </c>
      <c r="B128" s="870"/>
      <c r="C128" s="873"/>
      <c r="D128" s="2213"/>
      <c r="E128" s="2213"/>
      <c r="F128" s="2213"/>
      <c r="G128" s="2213"/>
      <c r="H128" s="2213"/>
      <c r="I128" s="873"/>
      <c r="J128" s="2204"/>
      <c r="K128" s="2204"/>
      <c r="L128" s="873"/>
      <c r="M128" s="873"/>
      <c r="N128" s="873"/>
      <c r="O128" s="873"/>
      <c r="P128" s="873"/>
      <c r="Q128" s="873"/>
      <c r="R128" s="873"/>
      <c r="S128" s="873"/>
      <c r="U128" s="386"/>
    </row>
    <row r="129" spans="1:21" s="383" customFormat="1" ht="13.2">
      <c r="A129" s="873" t="s">
        <v>548</v>
      </c>
      <c r="B129" s="870"/>
      <c r="C129" s="873"/>
      <c r="D129" s="2214" t="s">
        <v>1436</v>
      </c>
      <c r="E129" s="2214"/>
      <c r="F129" s="2214"/>
      <c r="G129" s="2214"/>
      <c r="H129" s="2214"/>
      <c r="I129" s="873"/>
      <c r="J129" s="873" t="s">
        <v>1437</v>
      </c>
      <c r="K129" s="873"/>
      <c r="L129" s="873"/>
      <c r="M129" s="873"/>
      <c r="N129" s="873"/>
      <c r="O129" s="873"/>
      <c r="P129" s="873"/>
      <c r="Q129" s="873"/>
      <c r="R129" s="873"/>
      <c r="S129" s="873"/>
      <c r="U129" s="386"/>
    </row>
    <row r="130" spans="1:21" s="383" customFormat="1" ht="13.2">
      <c r="A130" s="873"/>
      <c r="B130" s="868"/>
      <c r="C130" s="873"/>
      <c r="D130" s="873"/>
      <c r="E130" s="873"/>
      <c r="F130" s="873"/>
      <c r="G130" s="873"/>
      <c r="H130" s="873"/>
      <c r="I130" s="873"/>
      <c r="J130" s="873"/>
      <c r="K130" s="873"/>
      <c r="L130" s="873"/>
      <c r="M130" s="873"/>
      <c r="N130" s="873"/>
      <c r="O130" s="873"/>
      <c r="P130" s="873"/>
      <c r="Q130" s="873"/>
      <c r="R130" s="873"/>
      <c r="S130" s="873"/>
      <c r="U130" s="386"/>
    </row>
    <row r="131" spans="1:21" s="383" customFormat="1" ht="13.2">
      <c r="A131" s="874" t="s">
        <v>1438</v>
      </c>
      <c r="B131" s="871">
        <f>SUM(B123:B129)</f>
        <v>0</v>
      </c>
      <c r="C131" s="873"/>
      <c r="D131" s="2148"/>
      <c r="E131" s="2148"/>
      <c r="F131" s="2148"/>
      <c r="G131" s="2148"/>
      <c r="H131" s="2148"/>
      <c r="I131" s="873"/>
      <c r="J131" s="2148"/>
      <c r="K131" s="2148"/>
      <c r="L131" s="2148"/>
      <c r="M131" s="2148"/>
      <c r="N131" s="873"/>
      <c r="O131" s="873"/>
      <c r="P131" s="873"/>
      <c r="Q131" s="873"/>
      <c r="R131" s="873"/>
      <c r="S131" s="873"/>
      <c r="U131" s="386"/>
    </row>
    <row r="132" spans="1:21" s="383" customFormat="1" ht="13.2">
      <c r="A132" s="875"/>
      <c r="B132" s="873"/>
      <c r="C132" s="873"/>
      <c r="D132" s="2207" t="s">
        <v>1439</v>
      </c>
      <c r="E132" s="2207"/>
      <c r="F132" s="2207"/>
      <c r="G132" s="2207"/>
      <c r="H132" s="2207"/>
      <c r="I132" s="873"/>
      <c r="J132" s="2207" t="s">
        <v>1440</v>
      </c>
      <c r="K132" s="2207"/>
      <c r="L132" s="2207"/>
      <c r="M132" s="2207"/>
      <c r="N132" s="873"/>
      <c r="O132" s="873"/>
      <c r="P132" s="873"/>
      <c r="Q132" s="873"/>
      <c r="R132" s="873"/>
      <c r="S132" s="873"/>
      <c r="U132" s="386"/>
    </row>
    <row r="133" spans="1:21" s="383" customFormat="1" ht="13.2">
      <c r="A133" s="875"/>
      <c r="B133" s="873"/>
      <c r="C133" s="873"/>
      <c r="D133" s="873"/>
      <c r="E133" s="873"/>
      <c r="F133" s="873"/>
      <c r="G133" s="873"/>
      <c r="H133" s="873"/>
      <c r="I133" s="873"/>
      <c r="J133" s="873"/>
      <c r="K133" s="873"/>
      <c r="L133" s="873"/>
      <c r="M133" s="873"/>
      <c r="N133" s="873"/>
      <c r="O133" s="873"/>
      <c r="P133" s="873"/>
      <c r="Q133" s="873"/>
      <c r="R133" s="873"/>
      <c r="S133" s="873"/>
      <c r="U133" s="386"/>
    </row>
    <row r="134" spans="1:21" s="383" customFormat="1" ht="13.2">
      <c r="A134" s="876" t="s">
        <v>1441</v>
      </c>
      <c r="B134" s="873"/>
      <c r="C134" s="873"/>
      <c r="D134" s="873"/>
      <c r="E134" s="873"/>
      <c r="F134" s="873"/>
      <c r="G134" s="873"/>
      <c r="H134" s="873"/>
      <c r="I134" s="873"/>
      <c r="J134" s="873"/>
      <c r="K134" s="873"/>
      <c r="L134" s="873"/>
      <c r="M134" s="873"/>
      <c r="N134" s="873"/>
      <c r="O134" s="873"/>
      <c r="P134" s="873"/>
      <c r="Q134" s="873"/>
      <c r="R134" s="873"/>
      <c r="S134" s="873"/>
      <c r="U134" s="386"/>
    </row>
    <row r="135" spans="1:21" s="383" customFormat="1" ht="13.2">
      <c r="A135" s="569" t="s">
        <v>1442</v>
      </c>
      <c r="B135" s="873"/>
      <c r="C135" s="873"/>
      <c r="D135" s="873"/>
      <c r="E135" s="873"/>
      <c r="F135" s="873"/>
      <c r="G135" s="873"/>
      <c r="H135" s="873"/>
      <c r="I135" s="873"/>
      <c r="J135" s="873"/>
      <c r="K135" s="873"/>
      <c r="L135" s="873"/>
      <c r="M135" s="873"/>
      <c r="N135" s="877"/>
      <c r="O135" s="873"/>
      <c r="P135" s="873"/>
      <c r="Q135" s="873"/>
      <c r="R135" s="873"/>
      <c r="S135" s="873"/>
      <c r="U135" s="386"/>
    </row>
    <row r="136" spans="1:21" ht="13.2">
      <c r="A136" s="875"/>
      <c r="B136" s="873"/>
      <c r="C136" s="873"/>
      <c r="D136" s="873"/>
      <c r="E136" s="873"/>
      <c r="F136" s="873"/>
      <c r="G136" s="873"/>
      <c r="H136" s="873"/>
      <c r="I136" s="873"/>
      <c r="J136" s="873"/>
      <c r="K136" s="873"/>
      <c r="L136" s="873"/>
      <c r="M136" s="873"/>
      <c r="N136" s="873"/>
      <c r="O136" s="873"/>
      <c r="P136" s="873"/>
      <c r="Q136" s="873"/>
      <c r="R136" s="873"/>
      <c r="S136" s="873"/>
    </row>
    <row r="137" spans="1:21" ht="12" customHeight="1">
      <c r="A137" s="875"/>
      <c r="B137" s="873"/>
      <c r="C137" s="873"/>
      <c r="D137" s="873"/>
      <c r="E137" s="873"/>
      <c r="F137" s="873"/>
      <c r="G137" s="873"/>
      <c r="H137" s="873"/>
      <c r="I137" s="873"/>
      <c r="J137" s="873"/>
      <c r="K137" s="873"/>
      <c r="L137" s="873"/>
      <c r="M137" s="873"/>
      <c r="N137" s="873"/>
      <c r="O137" s="873"/>
      <c r="P137" s="873"/>
      <c r="Q137" s="873"/>
      <c r="R137" s="873"/>
      <c r="S137" s="873"/>
    </row>
    <row r="138" spans="1:21" ht="12" customHeight="1">
      <c r="A138" s="2208"/>
      <c r="B138" s="2209"/>
      <c r="C138" s="2209"/>
      <c r="D138" s="565"/>
      <c r="E138" s="2204"/>
      <c r="F138" s="2204"/>
      <c r="G138" s="873"/>
      <c r="H138" s="873"/>
      <c r="I138" s="873"/>
      <c r="J138" s="873"/>
      <c r="K138" s="873"/>
      <c r="L138" s="873"/>
      <c r="M138" s="873"/>
      <c r="N138" s="873"/>
      <c r="O138" s="873"/>
      <c r="P138" s="873"/>
      <c r="Q138" s="873"/>
      <c r="R138" s="873"/>
      <c r="S138" s="873"/>
    </row>
    <row r="139" spans="1:21" ht="12" customHeight="1">
      <c r="A139" s="2202" t="s">
        <v>1443</v>
      </c>
      <c r="B139" s="2203"/>
      <c r="C139" s="2203"/>
      <c r="D139" s="565"/>
      <c r="E139" s="873" t="s">
        <v>1437</v>
      </c>
      <c r="F139" s="873"/>
      <c r="G139" s="873"/>
      <c r="H139" s="873"/>
      <c r="I139" s="873"/>
      <c r="J139" s="873"/>
      <c r="K139" s="873"/>
      <c r="L139" s="873"/>
      <c r="M139" s="873"/>
      <c r="N139" s="873"/>
      <c r="O139" s="873"/>
      <c r="P139" s="873"/>
      <c r="Q139" s="873"/>
      <c r="R139" s="873"/>
      <c r="S139" s="873"/>
    </row>
    <row r="140" spans="1:21" s="472" customFormat="1" ht="12" customHeight="1">
      <c r="A140" s="869"/>
      <c r="B140" s="873"/>
      <c r="C140" s="873"/>
      <c r="D140" s="565"/>
      <c r="E140" s="873"/>
      <c r="F140" s="873"/>
      <c r="G140" s="873"/>
      <c r="H140" s="873"/>
      <c r="I140" s="873"/>
      <c r="J140" s="873"/>
      <c r="K140" s="873"/>
      <c r="L140" s="873"/>
      <c r="M140" s="873"/>
      <c r="N140" s="873"/>
      <c r="O140" s="873"/>
      <c r="P140" s="873"/>
      <c r="Q140" s="873"/>
      <c r="R140" s="873"/>
      <c r="S140" s="873"/>
      <c r="T140" s="909"/>
      <c r="U140" s="764"/>
    </row>
    <row r="141" spans="1:21" s="878" customFormat="1" ht="12" customHeight="1">
      <c r="B141" s="565"/>
      <c r="C141" s="565"/>
      <c r="D141" s="565"/>
      <c r="E141" s="565"/>
      <c r="F141" s="565"/>
      <c r="G141" s="873"/>
      <c r="H141" s="873"/>
      <c r="I141" s="873"/>
      <c r="J141" s="873"/>
      <c r="K141" s="873"/>
      <c r="L141" s="873"/>
      <c r="M141" s="873"/>
      <c r="N141" s="873"/>
      <c r="O141" s="873"/>
      <c r="P141" s="873"/>
      <c r="Q141" s="873"/>
      <c r="R141" s="873"/>
      <c r="S141" s="873"/>
      <c r="T141" s="909"/>
      <c r="U141" s="879"/>
    </row>
    <row r="142" spans="1:21"/>
    <row r="143" spans="1:21"/>
    <row r="144" spans="1:21"/>
    <row r="145"/>
    <row r="146"/>
    <row r="147"/>
  </sheetData>
  <sheetProtection algorithmName="SHA-512" hashValue="CJ2CNjYfWNFDN00Tal5ZpzfCkWds4lQWe4Zy7nrycM527MkeDlm/CZHvsxS/gyIcIxM1km8C8LBQP5Hnex1dYw==" saltValue="+5oJEyC3r42rT0PD+vt6ig==" spinCount="100000" sheet="1" objects="1" scenarios="1"/>
  <customSheetViews>
    <customSheetView guid="{48A1B9AA-9520-4513-968D-1FB22989E0AF}" showGridLines="0" zeroValues="0" fitToPage="1" hiddenColumns="1">
      <pane xSplit="1" ySplit="1" topLeftCell="B2" activePane="bottomRight" state="frozenSplit"/>
      <selection pane="bottomRight" activeCell="C4" sqref="C4"/>
      <rowBreaks count="1" manualBreakCount="1">
        <brk id="126" max="19" man="1"/>
      </rowBreaks>
      <pageMargins left="0.7" right="0.7" top="0.75" bottom="0.75" header="0.3" footer="0.3"/>
      <printOptions horizontalCentered="1"/>
      <pageSetup paperSize="5" scale="57" firstPageNumber="22" fitToHeight="2" orientation="landscape" useFirstPageNumber="1"/>
      <headerFooter alignWithMargins="0">
        <oddFooter>&amp;L&amp;8April 18, 2016 Version&amp;C&amp;P&amp;R&amp;8&amp;A &amp;D</oddFooter>
      </headerFooter>
    </customSheetView>
  </customSheetViews>
  <mergeCells count="13">
    <mergeCell ref="F1:R1"/>
    <mergeCell ref="D128:H128"/>
    <mergeCell ref="J128:K128"/>
    <mergeCell ref="D129:H129"/>
    <mergeCell ref="D131:H131"/>
    <mergeCell ref="D122:F122"/>
    <mergeCell ref="A139:C139"/>
    <mergeCell ref="E138:F138"/>
    <mergeCell ref="D123:S125"/>
    <mergeCell ref="D132:H132"/>
    <mergeCell ref="J131:M131"/>
    <mergeCell ref="J132:M132"/>
    <mergeCell ref="A138:C138"/>
  </mergeCells>
  <phoneticPr fontId="0" type="noConversion"/>
  <conditionalFormatting sqref="T9">
    <cfRule type="expression" dxfId="143" priority="253" stopIfTrue="1">
      <formula>T9&gt;C9</formula>
    </cfRule>
  </conditionalFormatting>
  <conditionalFormatting sqref="T10">
    <cfRule type="expression" dxfId="142" priority="252" stopIfTrue="1">
      <formula>(T10+S10)&gt;C10</formula>
    </cfRule>
  </conditionalFormatting>
  <conditionalFormatting sqref="R8">
    <cfRule type="cellIs" dxfId="141" priority="232" stopIfTrue="1" operator="notEqual">
      <formula>$B8</formula>
    </cfRule>
    <cfRule type="cellIs" priority="235" stopIfTrue="1" operator="notEqual">
      <formula>$B8</formula>
    </cfRule>
  </conditionalFormatting>
  <conditionalFormatting sqref="R4:R7 R45:R52 R56:R60 R82:R94 R98:R102">
    <cfRule type="cellIs" dxfId="140" priority="234" stopIfTrue="1" operator="notEqual">
      <formula>$B4</formula>
    </cfRule>
  </conditionalFormatting>
  <conditionalFormatting sqref="R9:R10">
    <cfRule type="cellIs" dxfId="139" priority="233" stopIfTrue="1" operator="notEqual">
      <formula>$B9</formula>
    </cfRule>
  </conditionalFormatting>
  <conditionalFormatting sqref="R11:R12">
    <cfRule type="cellIs" dxfId="138" priority="230" stopIfTrue="1" operator="notEqual">
      <formula>$B11</formula>
    </cfRule>
    <cfRule type="cellIs" priority="231" stopIfTrue="1" operator="notEqual">
      <formula>$B11</formula>
    </cfRule>
  </conditionalFormatting>
  <conditionalFormatting sqref="R13:R15">
    <cfRule type="cellIs" dxfId="137" priority="229" stopIfTrue="1" operator="notEqual">
      <formula>$B13</formula>
    </cfRule>
  </conditionalFormatting>
  <conditionalFormatting sqref="R26">
    <cfRule type="cellIs" dxfId="136" priority="227" stopIfTrue="1" operator="notEqual">
      <formula>$B26</formula>
    </cfRule>
    <cfRule type="cellIs" priority="228" stopIfTrue="1" operator="notEqual">
      <formula>$B26</formula>
    </cfRule>
  </conditionalFormatting>
  <conditionalFormatting sqref="R17:R25">
    <cfRule type="cellIs" dxfId="135" priority="226" stopIfTrue="1" operator="notEqual">
      <formula>$B17</formula>
    </cfRule>
  </conditionalFormatting>
  <conditionalFormatting sqref="R27">
    <cfRule type="cellIs" dxfId="134" priority="225" stopIfTrue="1" operator="notEqual">
      <formula>$B27</formula>
    </cfRule>
  </conditionalFormatting>
  <conditionalFormatting sqref="R38">
    <cfRule type="cellIs" dxfId="133" priority="223" stopIfTrue="1" operator="notEqual">
      <formula>$B38</formula>
    </cfRule>
    <cfRule type="cellIs" priority="224" stopIfTrue="1" operator="notEqual">
      <formula>$B38</formula>
    </cfRule>
  </conditionalFormatting>
  <conditionalFormatting sqref="R29:R37">
    <cfRule type="cellIs" dxfId="132" priority="222" stopIfTrue="1" operator="notEqual">
      <formula>$B29</formula>
    </cfRule>
  </conditionalFormatting>
  <conditionalFormatting sqref="R42">
    <cfRule type="cellIs" dxfId="131" priority="220" stopIfTrue="1" operator="notEqual">
      <formula>$B42</formula>
    </cfRule>
    <cfRule type="cellIs" priority="221" stopIfTrue="1" operator="notEqual">
      <formula>$B42</formula>
    </cfRule>
  </conditionalFormatting>
  <conditionalFormatting sqref="R40:R41">
    <cfRule type="cellIs" dxfId="130" priority="219" stopIfTrue="1" operator="notEqual">
      <formula>$B40</formula>
    </cfRule>
  </conditionalFormatting>
  <conditionalFormatting sqref="R43">
    <cfRule type="cellIs" dxfId="129" priority="218" stopIfTrue="1" operator="notEqual">
      <formula>$B43</formula>
    </cfRule>
  </conditionalFormatting>
  <conditionalFormatting sqref="R53">
    <cfRule type="cellIs" dxfId="128" priority="215" stopIfTrue="1" operator="notEqual">
      <formula>$B53</formula>
    </cfRule>
    <cfRule type="cellIs" priority="216" stopIfTrue="1" operator="notEqual">
      <formula>$B53</formula>
    </cfRule>
  </conditionalFormatting>
  <conditionalFormatting sqref="R55">
    <cfRule type="cellIs" dxfId="127" priority="213" stopIfTrue="1" operator="notEqual">
      <formula>$B55</formula>
    </cfRule>
  </conditionalFormatting>
  <conditionalFormatting sqref="R61:R62">
    <cfRule type="cellIs" dxfId="126" priority="211" stopIfTrue="1" operator="notEqual">
      <formula>$B61</formula>
    </cfRule>
    <cfRule type="cellIs" priority="212" stopIfTrue="1" operator="notEqual">
      <formula>$B61</formula>
    </cfRule>
  </conditionalFormatting>
  <conditionalFormatting sqref="R64:R68">
    <cfRule type="cellIs" dxfId="125" priority="210" stopIfTrue="1" operator="notEqual">
      <formula>$B64</formula>
    </cfRule>
  </conditionalFormatting>
  <conditionalFormatting sqref="R69">
    <cfRule type="cellIs" dxfId="124" priority="208" stopIfTrue="1" operator="notEqual">
      <formula>$B69</formula>
    </cfRule>
    <cfRule type="cellIs" priority="209" stopIfTrue="1" operator="notEqual">
      <formula>$B69</formula>
    </cfRule>
  </conditionalFormatting>
  <conditionalFormatting sqref="R71:R75">
    <cfRule type="cellIs" dxfId="123" priority="207" stopIfTrue="1" operator="notEqual">
      <formula>$B71</formula>
    </cfRule>
  </conditionalFormatting>
  <conditionalFormatting sqref="R76">
    <cfRule type="cellIs" dxfId="122" priority="205" stopIfTrue="1" operator="notEqual">
      <formula>$B76</formula>
    </cfRule>
    <cfRule type="cellIs" priority="206" stopIfTrue="1" operator="notEqual">
      <formula>$B76</formula>
    </cfRule>
  </conditionalFormatting>
  <conditionalFormatting sqref="R78:R79">
    <cfRule type="cellIs" dxfId="121" priority="204" stopIfTrue="1" operator="notEqual">
      <formula>$B78</formula>
    </cfRule>
  </conditionalFormatting>
  <conditionalFormatting sqref="R95:R96">
    <cfRule type="cellIs" dxfId="120" priority="201" stopIfTrue="1" operator="notEqual">
      <formula>$B95</formula>
    </cfRule>
    <cfRule type="cellIs" priority="202" stopIfTrue="1" operator="notEqual">
      <formula>$B95</formula>
    </cfRule>
  </conditionalFormatting>
  <conditionalFormatting sqref="R103:R104">
    <cfRule type="cellIs" dxfId="119" priority="198" stopIfTrue="1" operator="notEqual">
      <formula>$B103</formula>
    </cfRule>
    <cfRule type="cellIs" priority="199" stopIfTrue="1" operator="notEqual">
      <formula>$B103</formula>
    </cfRule>
  </conditionalFormatting>
  <conditionalFormatting sqref="E104:Q104">
    <cfRule type="cellIs" dxfId="118" priority="197" stopIfTrue="1" operator="notEqual">
      <formula>E$107</formula>
    </cfRule>
  </conditionalFormatting>
  <conditionalFormatting sqref="S10">
    <cfRule type="expression" dxfId="117" priority="133" stopIfTrue="1">
      <formula>(S10+T10)&gt;C10</formula>
    </cfRule>
  </conditionalFormatting>
  <conditionalFormatting sqref="S30:S37">
    <cfRule type="expression" dxfId="116" priority="109" stopIfTrue="1">
      <formula>(S30+T30)&gt;C30</formula>
    </cfRule>
  </conditionalFormatting>
  <conditionalFormatting sqref="S33">
    <cfRule type="expression" dxfId="115" priority="106" stopIfTrue="1">
      <formula>(S33+T33)&gt;C33</formula>
    </cfRule>
  </conditionalFormatting>
  <conditionalFormatting sqref="S31">
    <cfRule type="expression" dxfId="114" priority="108" stopIfTrue="1">
      <formula>(S31+T31)&gt;C31</formula>
    </cfRule>
  </conditionalFormatting>
  <conditionalFormatting sqref="S29">
    <cfRule type="expression" dxfId="113" priority="110" stopIfTrue="1">
      <formula>(S29+T29)&gt;C29</formula>
    </cfRule>
  </conditionalFormatting>
  <conditionalFormatting sqref="S23:S24">
    <cfRule type="expression" dxfId="112" priority="114" stopIfTrue="1">
      <formula>(S23+T23)&gt;C23</formula>
    </cfRule>
  </conditionalFormatting>
  <conditionalFormatting sqref="T13">
    <cfRule type="expression" dxfId="111" priority="132" stopIfTrue="1">
      <formula>(T13+S13)&gt;C13</formula>
    </cfRule>
  </conditionalFormatting>
  <conditionalFormatting sqref="T14">
    <cfRule type="expression" dxfId="110" priority="131" stopIfTrue="1">
      <formula>(T14+S14)&gt;C14</formula>
    </cfRule>
  </conditionalFormatting>
  <conditionalFormatting sqref="T17">
    <cfRule type="expression" dxfId="109" priority="130" stopIfTrue="1">
      <formula>(T17+S17)&gt;C17</formula>
    </cfRule>
  </conditionalFormatting>
  <conditionalFormatting sqref="T18">
    <cfRule type="expression" dxfId="108" priority="129" stopIfTrue="1">
      <formula>(T18+S18)&gt;C18</formula>
    </cfRule>
  </conditionalFormatting>
  <conditionalFormatting sqref="T19">
    <cfRule type="expression" dxfId="107" priority="128" stopIfTrue="1">
      <formula>(T19+S19)&gt;C19</formula>
    </cfRule>
  </conditionalFormatting>
  <conditionalFormatting sqref="T20">
    <cfRule type="expression" dxfId="106" priority="127" stopIfTrue="1">
      <formula>(T20+S20)&gt;C20</formula>
    </cfRule>
  </conditionalFormatting>
  <conditionalFormatting sqref="T21">
    <cfRule type="expression" dxfId="105" priority="126" stopIfTrue="1">
      <formula>(T21+S21)&gt;C21</formula>
    </cfRule>
  </conditionalFormatting>
  <conditionalFormatting sqref="T22">
    <cfRule type="expression" dxfId="104" priority="125" stopIfTrue="1">
      <formula>(T22+S22)&gt;C22</formula>
    </cfRule>
  </conditionalFormatting>
  <conditionalFormatting sqref="T23:T24">
    <cfRule type="expression" dxfId="103" priority="124" stopIfTrue="1">
      <formula>(T23+S23)&gt;C23</formula>
    </cfRule>
  </conditionalFormatting>
  <conditionalFormatting sqref="T25">
    <cfRule type="expression" dxfId="102" priority="123" stopIfTrue="1">
      <formula>(T25+S25)&gt;C25</formula>
    </cfRule>
  </conditionalFormatting>
  <conditionalFormatting sqref="S13">
    <cfRule type="expression" dxfId="101" priority="122" stopIfTrue="1">
      <formula>(S13+T13)&gt;C13</formula>
    </cfRule>
  </conditionalFormatting>
  <conditionalFormatting sqref="S14">
    <cfRule type="expression" dxfId="100" priority="121" stopIfTrue="1">
      <formula>(S14+T14)&gt;C14</formula>
    </cfRule>
  </conditionalFormatting>
  <conditionalFormatting sqref="S17">
    <cfRule type="expression" dxfId="99" priority="120" stopIfTrue="1">
      <formula>(S17+T17)&gt;C17</formula>
    </cfRule>
  </conditionalFormatting>
  <conditionalFormatting sqref="S18">
    <cfRule type="expression" dxfId="98" priority="119" stopIfTrue="1">
      <formula>(S18+T18)&gt;C18</formula>
    </cfRule>
  </conditionalFormatting>
  <conditionalFormatting sqref="S19">
    <cfRule type="expression" dxfId="97" priority="118" stopIfTrue="1">
      <formula>(S19+T19)&gt;C19</formula>
    </cfRule>
  </conditionalFormatting>
  <conditionalFormatting sqref="S20">
    <cfRule type="expression" dxfId="96" priority="117" stopIfTrue="1">
      <formula>(S20+T20)&gt;C20</formula>
    </cfRule>
  </conditionalFormatting>
  <conditionalFormatting sqref="S21">
    <cfRule type="expression" dxfId="95" priority="116" stopIfTrue="1">
      <formula>(S21+T21)&gt;C21</formula>
    </cfRule>
  </conditionalFormatting>
  <conditionalFormatting sqref="S22">
    <cfRule type="expression" dxfId="94" priority="115" stopIfTrue="1">
      <formula>(S22+T22)&gt;C22</formula>
    </cfRule>
  </conditionalFormatting>
  <conditionalFormatting sqref="S25">
    <cfRule type="expression" dxfId="93" priority="113" stopIfTrue="1">
      <formula>(S25+T25)&gt;C25</formula>
    </cfRule>
  </conditionalFormatting>
  <conditionalFormatting sqref="S27">
    <cfRule type="expression" dxfId="92" priority="112" stopIfTrue="1">
      <formula>(S27+T27)&gt;C27</formula>
    </cfRule>
  </conditionalFormatting>
  <conditionalFormatting sqref="T27">
    <cfRule type="expression" dxfId="91" priority="111" stopIfTrue="1">
      <formula>(T27+S27)&gt;C27</formula>
    </cfRule>
  </conditionalFormatting>
  <conditionalFormatting sqref="S32">
    <cfRule type="expression" dxfId="90" priority="107" stopIfTrue="1">
      <formula>(S32+T32)&gt;C32</formula>
    </cfRule>
  </conditionalFormatting>
  <conditionalFormatting sqref="S34">
    <cfRule type="expression" dxfId="89" priority="105" stopIfTrue="1">
      <formula>(S34+T34)&gt;C34</formula>
    </cfRule>
  </conditionalFormatting>
  <conditionalFormatting sqref="S35:S36">
    <cfRule type="expression" dxfId="88" priority="104" stopIfTrue="1">
      <formula>(S35+T35)&gt;C35</formula>
    </cfRule>
  </conditionalFormatting>
  <conditionalFormatting sqref="S37">
    <cfRule type="expression" dxfId="87" priority="103" stopIfTrue="1">
      <formula>(S37+T37)&gt;C37</formula>
    </cfRule>
  </conditionalFormatting>
  <conditionalFormatting sqref="T29">
    <cfRule type="expression" dxfId="86" priority="102" stopIfTrue="1">
      <formula>(T29+S29)&gt;C29</formula>
    </cfRule>
  </conditionalFormatting>
  <conditionalFormatting sqref="T30">
    <cfRule type="expression" dxfId="85" priority="101" stopIfTrue="1">
      <formula>(T30+S30)&gt;C30</formula>
    </cfRule>
  </conditionalFormatting>
  <conditionalFormatting sqref="T31">
    <cfRule type="expression" dxfId="84" priority="100" stopIfTrue="1">
      <formula>(T31+S31)&gt;C31</formula>
    </cfRule>
  </conditionalFormatting>
  <conditionalFormatting sqref="T32">
    <cfRule type="expression" dxfId="83" priority="99" stopIfTrue="1">
      <formula>(T32+S32)&gt;C32</formula>
    </cfRule>
  </conditionalFormatting>
  <conditionalFormatting sqref="T33">
    <cfRule type="expression" dxfId="82" priority="98" stopIfTrue="1">
      <formula>(T33+S33)&gt;C33</formula>
    </cfRule>
  </conditionalFormatting>
  <conditionalFormatting sqref="T34">
    <cfRule type="expression" dxfId="81" priority="97" stopIfTrue="1">
      <formula>(T34+S34)&gt;C34</formula>
    </cfRule>
  </conditionalFormatting>
  <conditionalFormatting sqref="T35:T36">
    <cfRule type="expression" dxfId="80" priority="96" stopIfTrue="1">
      <formula>(T35+S35)&gt;C35</formula>
    </cfRule>
  </conditionalFormatting>
  <conditionalFormatting sqref="T37">
    <cfRule type="expression" dxfId="79" priority="95" stopIfTrue="1">
      <formula>(T37+S37)&gt;C37</formula>
    </cfRule>
  </conditionalFormatting>
  <conditionalFormatting sqref="T40">
    <cfRule type="expression" dxfId="78" priority="94" stopIfTrue="1">
      <formula>(T40+S40)&gt;C40</formula>
    </cfRule>
  </conditionalFormatting>
  <conditionalFormatting sqref="T41">
    <cfRule type="expression" dxfId="77" priority="93" stopIfTrue="1">
      <formula>(T41+S41)&gt;C41</formula>
    </cfRule>
  </conditionalFormatting>
  <conditionalFormatting sqref="S41">
    <cfRule type="expression" dxfId="76" priority="91" stopIfTrue="1">
      <formula>(S41+T41)&gt;C41</formula>
    </cfRule>
  </conditionalFormatting>
  <conditionalFormatting sqref="T43">
    <cfRule type="expression" dxfId="75" priority="89" stopIfTrue="1">
      <formula>(T43+S43)&gt;C43</formula>
    </cfRule>
  </conditionalFormatting>
  <conditionalFormatting sqref="S45">
    <cfRule type="expression" dxfId="74" priority="88" stopIfTrue="1">
      <formula>(S45+T45)&gt;C45</formula>
    </cfRule>
  </conditionalFormatting>
  <conditionalFormatting sqref="S46">
    <cfRule type="expression" dxfId="73" priority="87" stopIfTrue="1">
      <formula>(S46+T46)&gt;C46</formula>
    </cfRule>
  </conditionalFormatting>
  <conditionalFormatting sqref="S47">
    <cfRule type="expression" dxfId="72" priority="86" stopIfTrue="1">
      <formula>(S47+T47)&gt;C47</formula>
    </cfRule>
  </conditionalFormatting>
  <conditionalFormatting sqref="S48">
    <cfRule type="expression" dxfId="71" priority="85" stopIfTrue="1">
      <formula>(S48+T48)&gt;C48</formula>
    </cfRule>
  </conditionalFormatting>
  <conditionalFormatting sqref="S49">
    <cfRule type="expression" dxfId="70" priority="84" stopIfTrue="1">
      <formula>(S49+T49)&gt;C49</formula>
    </cfRule>
  </conditionalFormatting>
  <conditionalFormatting sqref="S52">
    <cfRule type="expression" dxfId="69" priority="80" stopIfTrue="1">
      <formula>(S52+T52)&gt;C52</formula>
    </cfRule>
  </conditionalFormatting>
  <conditionalFormatting sqref="T45">
    <cfRule type="expression" dxfId="68" priority="79" stopIfTrue="1">
      <formula>(T45+S45)&gt;C45</formula>
    </cfRule>
  </conditionalFormatting>
  <conditionalFormatting sqref="T46">
    <cfRule type="expression" dxfId="67" priority="78" stopIfTrue="1">
      <formula>(T46+S46)&gt;C46</formula>
    </cfRule>
  </conditionalFormatting>
  <conditionalFormatting sqref="T47">
    <cfRule type="expression" dxfId="66" priority="77" stopIfTrue="1">
      <formula>(T47+S47)&gt;C47</formula>
    </cfRule>
  </conditionalFormatting>
  <conditionalFormatting sqref="T48">
    <cfRule type="expression" dxfId="65" priority="76" stopIfTrue="1">
      <formula>(T48+S48)&gt;C48</formula>
    </cfRule>
  </conditionalFormatting>
  <conditionalFormatting sqref="T49">
    <cfRule type="expression" dxfId="64" priority="75" stopIfTrue="1">
      <formula>(T49+S49)&gt;C49</formula>
    </cfRule>
  </conditionalFormatting>
  <conditionalFormatting sqref="T50">
    <cfRule type="expression" dxfId="63" priority="74" stopIfTrue="1">
      <formula>(T50+S50)&gt;C50</formula>
    </cfRule>
  </conditionalFormatting>
  <conditionalFormatting sqref="T51">
    <cfRule type="expression" dxfId="62" priority="73" stopIfTrue="1">
      <formula>(T51+S51)&gt;C51</formula>
    </cfRule>
  </conditionalFormatting>
  <conditionalFormatting sqref="T52">
    <cfRule type="expression" dxfId="61" priority="71" stopIfTrue="1">
      <formula>(T52+S52)&gt;C52</formula>
    </cfRule>
  </conditionalFormatting>
  <conditionalFormatting sqref="T64:T67">
    <cfRule type="expression" dxfId="60" priority="70" stopIfTrue="1">
      <formula>(T64+S64)&gt;C64</formula>
    </cfRule>
  </conditionalFormatting>
  <conditionalFormatting sqref="T68">
    <cfRule type="expression" dxfId="59" priority="69" stopIfTrue="1">
      <formula>(T68+S68)&gt;C68</formula>
    </cfRule>
  </conditionalFormatting>
  <conditionalFormatting sqref="S64:S67">
    <cfRule type="expression" dxfId="58" priority="68" stopIfTrue="1">
      <formula>(S64+T64)&gt;C64</formula>
    </cfRule>
  </conditionalFormatting>
  <conditionalFormatting sqref="S68">
    <cfRule type="expression" dxfId="57" priority="67" stopIfTrue="1">
      <formula>(S68+T68)&gt;C68</formula>
    </cfRule>
  </conditionalFormatting>
  <conditionalFormatting sqref="T78">
    <cfRule type="expression" dxfId="56" priority="66" stopIfTrue="1">
      <formula>(T78+S78)&gt;C78</formula>
    </cfRule>
  </conditionalFormatting>
  <conditionalFormatting sqref="T79">
    <cfRule type="expression" dxfId="55" priority="65" stopIfTrue="1">
      <formula>(T79+S79)&gt;C79</formula>
    </cfRule>
  </conditionalFormatting>
  <conditionalFormatting sqref="S94">
    <cfRule type="expression" dxfId="54" priority="46" stopIfTrue="1">
      <formula>(S94+T94)&gt;C94</formula>
    </cfRule>
  </conditionalFormatting>
  <conditionalFormatting sqref="S86">
    <cfRule type="expression" dxfId="53" priority="59" stopIfTrue="1">
      <formula>(S86+T86)&gt;C86</formula>
    </cfRule>
  </conditionalFormatting>
  <conditionalFormatting sqref="T83">
    <cfRule type="expression" dxfId="52" priority="58" stopIfTrue="1">
      <formula>(T83+S83)&gt;C83</formula>
    </cfRule>
  </conditionalFormatting>
  <conditionalFormatting sqref="T84">
    <cfRule type="expression" dxfId="51" priority="57" stopIfTrue="1">
      <formula>(T84+S84)&gt;C84</formula>
    </cfRule>
  </conditionalFormatting>
  <conditionalFormatting sqref="T85">
    <cfRule type="expression" dxfId="50" priority="56" stopIfTrue="1">
      <formula>(T85+S85)&gt;C85</formula>
    </cfRule>
  </conditionalFormatting>
  <conditionalFormatting sqref="T86">
    <cfRule type="expression" dxfId="49" priority="55" stopIfTrue="1">
      <formula>(T86+S86)&gt;C86</formula>
    </cfRule>
  </conditionalFormatting>
  <conditionalFormatting sqref="S89">
    <cfRule type="expression" dxfId="48" priority="53" stopIfTrue="1">
      <formula>(S89+T89)&gt;C89</formula>
    </cfRule>
  </conditionalFormatting>
  <conditionalFormatting sqref="S92">
    <cfRule type="expression" dxfId="47" priority="50" stopIfTrue="1">
      <formula>(S92+T92)&gt;C92</formula>
    </cfRule>
  </conditionalFormatting>
  <conditionalFormatting sqref="T88">
    <cfRule type="expression" dxfId="46" priority="45" stopIfTrue="1">
      <formula>(T88+S88)&gt;C88</formula>
    </cfRule>
  </conditionalFormatting>
  <conditionalFormatting sqref="T89">
    <cfRule type="expression" dxfId="45" priority="44" stopIfTrue="1">
      <formula>(T89+S89)&gt;C89</formula>
    </cfRule>
  </conditionalFormatting>
  <conditionalFormatting sqref="T90">
    <cfRule type="expression" dxfId="44" priority="43" stopIfTrue="1">
      <formula>(T90+S90)&gt;C90</formula>
    </cfRule>
  </conditionalFormatting>
  <conditionalFormatting sqref="T91">
    <cfRule type="expression" dxfId="43" priority="42" stopIfTrue="1">
      <formula>(T91+S91)&gt;C91</formula>
    </cfRule>
  </conditionalFormatting>
  <conditionalFormatting sqref="T92">
    <cfRule type="expression" dxfId="42" priority="41" stopIfTrue="1">
      <formula>(T92+S92)&gt;C92</formula>
    </cfRule>
  </conditionalFormatting>
  <conditionalFormatting sqref="T93">
    <cfRule type="expression" dxfId="41" priority="40" stopIfTrue="1">
      <formula>(T93+S93)&gt;C93</formula>
    </cfRule>
  </conditionalFormatting>
  <conditionalFormatting sqref="T94">
    <cfRule type="expression" dxfId="40" priority="37" stopIfTrue="1">
      <formula>(T94+S94)&gt;C94</formula>
    </cfRule>
  </conditionalFormatting>
  <conditionalFormatting sqref="S99">
    <cfRule type="expression" dxfId="39" priority="31" stopIfTrue="1">
      <formula>(S99+T99)&gt;C99</formula>
    </cfRule>
  </conditionalFormatting>
  <conditionalFormatting sqref="S100">
    <cfRule type="expression" dxfId="38" priority="29" stopIfTrue="1">
      <formula>(S100+T100)&gt;C100</formula>
    </cfRule>
  </conditionalFormatting>
  <conditionalFormatting sqref="S101">
    <cfRule type="expression" dxfId="37" priority="28" stopIfTrue="1">
      <formula>(S101+T101)&gt;C101</formula>
    </cfRule>
  </conditionalFormatting>
  <conditionalFormatting sqref="S102">
    <cfRule type="expression" dxfId="36" priority="27" stopIfTrue="1">
      <formula>(S102+T102)&gt;C102</formula>
    </cfRule>
  </conditionalFormatting>
  <conditionalFormatting sqref="T98">
    <cfRule type="expression" dxfId="35" priority="26" stopIfTrue="1">
      <formula>(T98+S98)&gt;C98</formula>
    </cfRule>
  </conditionalFormatting>
  <conditionalFormatting sqref="T99">
    <cfRule type="expression" dxfId="34" priority="25" stopIfTrue="1">
      <formula>(T99+S99)&gt;C99</formula>
    </cfRule>
  </conditionalFormatting>
  <conditionalFormatting sqref="T100">
    <cfRule type="expression" dxfId="33" priority="23" stopIfTrue="1">
      <formula>(T100+S100)&gt;C100</formula>
    </cfRule>
  </conditionalFormatting>
  <conditionalFormatting sqref="T101">
    <cfRule type="expression" dxfId="32" priority="22" stopIfTrue="1">
      <formula>(T101+S101)&gt;C101</formula>
    </cfRule>
  </conditionalFormatting>
  <conditionalFormatting sqref="T102">
    <cfRule type="expression" dxfId="31" priority="21" stopIfTrue="1">
      <formula>(T102+S102)&gt;C102</formula>
    </cfRule>
  </conditionalFormatting>
  <conditionalFormatting sqref="S40">
    <cfRule type="expression" dxfId="30" priority="20" stopIfTrue="1">
      <formula>(S40+T40)&gt;C40</formula>
    </cfRule>
  </conditionalFormatting>
  <conditionalFormatting sqref="S40">
    <cfRule type="expression" dxfId="29" priority="19" stopIfTrue="1">
      <formula>(S40+T40)&gt;C40</formula>
    </cfRule>
  </conditionalFormatting>
  <conditionalFormatting sqref="S43">
    <cfRule type="expression" dxfId="28" priority="18" stopIfTrue="1">
      <formula>(S43+T43)&gt;C43</formula>
    </cfRule>
  </conditionalFormatting>
  <conditionalFormatting sqref="S43">
    <cfRule type="expression" dxfId="27" priority="17" stopIfTrue="1">
      <formula>(S43+T43)&gt;C43</formula>
    </cfRule>
  </conditionalFormatting>
  <conditionalFormatting sqref="S78:S79">
    <cfRule type="expression" dxfId="26" priority="16" stopIfTrue="1">
      <formula>(S78+T78)&gt;C78</formula>
    </cfRule>
  </conditionalFormatting>
  <conditionalFormatting sqref="S78:S79">
    <cfRule type="expression" dxfId="25" priority="15" stopIfTrue="1">
      <formula>(S78+T78)&gt;C78</formula>
    </cfRule>
  </conditionalFormatting>
  <conditionalFormatting sqref="S83:S85">
    <cfRule type="expression" dxfId="24" priority="14" stopIfTrue="1">
      <formula>(S83+T83)&gt;C83</formula>
    </cfRule>
  </conditionalFormatting>
  <conditionalFormatting sqref="S83:S85">
    <cfRule type="expression" dxfId="23" priority="13" stopIfTrue="1">
      <formula>(S83+T83)&gt;C83</formula>
    </cfRule>
  </conditionalFormatting>
  <conditionalFormatting sqref="S88">
    <cfRule type="expression" dxfId="22" priority="12" stopIfTrue="1">
      <formula>(S88+T88)&gt;C88</formula>
    </cfRule>
  </conditionalFormatting>
  <conditionalFormatting sqref="S88">
    <cfRule type="expression" dxfId="21" priority="11" stopIfTrue="1">
      <formula>(S88+T88)&gt;C88</formula>
    </cfRule>
  </conditionalFormatting>
  <conditionalFormatting sqref="S90">
    <cfRule type="expression" dxfId="20" priority="10" stopIfTrue="1">
      <formula>(S90+T90)&gt;C90</formula>
    </cfRule>
  </conditionalFormatting>
  <conditionalFormatting sqref="S90">
    <cfRule type="expression" dxfId="19" priority="9" stopIfTrue="1">
      <formula>(S90+T90)&gt;C90</formula>
    </cfRule>
  </conditionalFormatting>
  <conditionalFormatting sqref="S91">
    <cfRule type="expression" dxfId="18" priority="8" stopIfTrue="1">
      <formula>(S91+T91)&gt;C91</formula>
    </cfRule>
  </conditionalFormatting>
  <conditionalFormatting sqref="S91">
    <cfRule type="expression" dxfId="17" priority="7" stopIfTrue="1">
      <formula>(S91+T91)&gt;C91</formula>
    </cfRule>
  </conditionalFormatting>
  <conditionalFormatting sqref="S98">
    <cfRule type="expression" dxfId="16" priority="6" stopIfTrue="1">
      <formula>(S98+T98)&gt;C98</formula>
    </cfRule>
  </conditionalFormatting>
  <conditionalFormatting sqref="S98">
    <cfRule type="expression" dxfId="15" priority="5" stopIfTrue="1">
      <formula>(S98+T98)&gt;C98</formula>
    </cfRule>
  </conditionalFormatting>
  <conditionalFormatting sqref="S50">
    <cfRule type="expression" dxfId="14" priority="4" stopIfTrue="1">
      <formula>(S50+T50)&gt;C50</formula>
    </cfRule>
  </conditionalFormatting>
  <conditionalFormatting sqref="S51">
    <cfRule type="expression" dxfId="13" priority="3" stopIfTrue="1">
      <formula>(S51+T51)&gt;C51</formula>
    </cfRule>
  </conditionalFormatting>
  <conditionalFormatting sqref="S93">
    <cfRule type="expression" dxfId="12" priority="2" stopIfTrue="1">
      <formula>(S93+T93)&gt;C93</formula>
    </cfRule>
  </conditionalFormatting>
  <conditionalFormatting sqref="S93">
    <cfRule type="expression" dxfId="11" priority="1" stopIfTrue="1">
      <formula>(S93+T93)&gt;C93</formula>
    </cfRule>
  </conditionalFormatting>
  <printOptions horizontalCentered="1"/>
  <pageMargins left="0.25" right="0.25" top="0.5" bottom="0.5" header="0.25" footer="0.25"/>
  <pageSetup paperSize="5" scale="56" firstPageNumber="22" fitToHeight="2" orientation="landscape" useFirstPageNumber="1"/>
  <headerFooter alignWithMargins="0">
    <oddFooter>&amp;C&amp;P&amp;R&amp;8&amp;A</oddFooter>
  </headerFooter>
  <rowBreaks count="1" manualBreakCount="1">
    <brk id="76" max="19" man="1"/>
  </rowBreaks>
  <legacy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5519"/>
  <sheetViews>
    <sheetView showGridLines="0" showZeros="0" zoomScaleSheetLayoutView="100" workbookViewId="0">
      <selection activeCell="C4" sqref="C4"/>
    </sheetView>
  </sheetViews>
  <sheetFormatPr defaultColWidth="8.88671875" defaultRowHeight="12" zeroHeight="1"/>
  <cols>
    <col min="1" max="1" width="32.44140625" style="767" customWidth="1"/>
    <col min="2" max="3" width="12.109375" style="765" customWidth="1"/>
    <col min="4" max="4" width="12.88671875" style="765" customWidth="1"/>
    <col min="5" max="6" width="12.6640625" style="765" customWidth="1"/>
    <col min="7" max="7" width="13.44140625" style="765" customWidth="1"/>
    <col min="8" max="9" width="12.109375" style="765" customWidth="1"/>
    <col min="10" max="10" width="12.109375" style="909" customWidth="1"/>
    <col min="11" max="11" width="7" style="916" customWidth="1"/>
    <col min="12" max="16384" width="8.88671875" style="765"/>
  </cols>
  <sheetData>
    <row r="1" spans="1:11" s="565" customFormat="1" ht="13.2">
      <c r="A1" s="2216" t="s">
        <v>2064</v>
      </c>
      <c r="B1" s="2217"/>
      <c r="C1" s="2217"/>
      <c r="D1" s="2217"/>
      <c r="E1" s="2217"/>
      <c r="F1" s="2217"/>
      <c r="G1" s="2217"/>
      <c r="H1" s="2217"/>
      <c r="I1" s="2217"/>
      <c r="J1" s="2218"/>
      <c r="K1" s="913"/>
    </row>
    <row r="2" spans="1:11" s="932" customFormat="1" ht="72">
      <c r="A2" s="930"/>
      <c r="B2" s="362" t="s">
        <v>1509</v>
      </c>
      <c r="C2" s="362" t="s">
        <v>2065</v>
      </c>
      <c r="D2" s="432" t="s">
        <v>2066</v>
      </c>
      <c r="E2" s="362" t="s">
        <v>1513</v>
      </c>
      <c r="F2" s="362" t="s">
        <v>2067</v>
      </c>
      <c r="G2" s="362" t="s">
        <v>2068</v>
      </c>
      <c r="H2" s="362" t="s">
        <v>1512</v>
      </c>
      <c r="I2" s="362" t="s">
        <v>2069</v>
      </c>
      <c r="J2" s="1087" t="s">
        <v>2070</v>
      </c>
      <c r="K2" s="931"/>
    </row>
    <row r="3" spans="1:11" s="383" customFormat="1" ht="11.4">
      <c r="A3" s="365" t="s">
        <v>381</v>
      </c>
      <c r="B3" s="918"/>
      <c r="C3" s="918"/>
      <c r="D3" s="918"/>
      <c r="E3" s="918"/>
      <c r="F3" s="918"/>
      <c r="G3" s="918"/>
      <c r="H3" s="918"/>
      <c r="I3" s="918"/>
      <c r="J3" s="918"/>
      <c r="K3" s="914"/>
    </row>
    <row r="4" spans="1:11" s="383" customFormat="1" ht="13.2">
      <c r="A4" s="481" t="s">
        <v>74</v>
      </c>
      <c r="B4" s="919">
        <f>'Sources and Uses Budget'!C4</f>
        <v>95100</v>
      </c>
      <c r="C4" s="920"/>
      <c r="D4" s="920"/>
      <c r="E4" s="921"/>
      <c r="F4" s="921"/>
      <c r="G4" s="921"/>
      <c r="H4" s="921"/>
      <c r="I4" s="921"/>
      <c r="J4" s="921"/>
      <c r="K4" s="914"/>
    </row>
    <row r="5" spans="1:11" s="383" customFormat="1" ht="13.2">
      <c r="A5" s="481" t="s">
        <v>75</v>
      </c>
      <c r="B5" s="919">
        <f>'Sources and Uses Budget'!C5</f>
        <v>0</v>
      </c>
      <c r="C5" s="920"/>
      <c r="D5" s="920"/>
      <c r="E5" s="921"/>
      <c r="F5" s="921"/>
      <c r="G5" s="921"/>
      <c r="H5" s="921"/>
      <c r="I5" s="921"/>
      <c r="J5" s="921"/>
      <c r="K5" s="914"/>
    </row>
    <row r="6" spans="1:11" s="383" customFormat="1" ht="11.4">
      <c r="A6" s="369" t="s">
        <v>382</v>
      </c>
      <c r="B6" s="919">
        <f>'Sources and Uses Budget'!C6</f>
        <v>9877</v>
      </c>
      <c r="C6" s="920"/>
      <c r="D6" s="920"/>
      <c r="E6" s="921"/>
      <c r="F6" s="921"/>
      <c r="G6" s="921"/>
      <c r="H6" s="921"/>
      <c r="I6" s="921"/>
      <c r="J6" s="921"/>
      <c r="K6" s="914"/>
    </row>
    <row r="7" spans="1:11" s="383" customFormat="1" ht="11.4">
      <c r="A7" s="369" t="s">
        <v>310</v>
      </c>
      <c r="B7" s="919">
        <f>'Sources and Uses Budget'!C7</f>
        <v>0</v>
      </c>
      <c r="C7" s="920"/>
      <c r="D7" s="920"/>
      <c r="E7" s="921"/>
      <c r="F7" s="921"/>
      <c r="G7" s="921"/>
      <c r="H7" s="921"/>
      <c r="I7" s="921"/>
      <c r="J7" s="921"/>
      <c r="K7" s="914"/>
    </row>
    <row r="8" spans="1:11" s="383" customFormat="1" ht="13.8">
      <c r="A8" s="482" t="s">
        <v>770</v>
      </c>
      <c r="B8" s="919">
        <f>'Sources and Uses Budget'!C8</f>
        <v>104977</v>
      </c>
      <c r="C8" s="919">
        <f>SUM(C4:C7)</f>
        <v>0</v>
      </c>
      <c r="D8" s="919">
        <f>SUM(D4:D7)</f>
        <v>0</v>
      </c>
      <c r="E8" s="921"/>
      <c r="F8" s="921"/>
      <c r="G8" s="921"/>
      <c r="H8" s="921"/>
      <c r="I8" s="921"/>
      <c r="J8" s="921"/>
      <c r="K8" s="914"/>
    </row>
    <row r="9" spans="1:11" s="383" customFormat="1" ht="11.4">
      <c r="A9" s="369" t="s">
        <v>1942</v>
      </c>
      <c r="B9" s="919">
        <f>'Sources and Uses Budget'!C9</f>
        <v>560760</v>
      </c>
      <c r="C9" s="920"/>
      <c r="D9" s="920"/>
      <c r="E9" s="921"/>
      <c r="F9" s="921"/>
      <c r="G9" s="921"/>
      <c r="H9" s="919">
        <f>'Sources and Uses Budget'!T9</f>
        <v>0</v>
      </c>
      <c r="I9" s="920"/>
      <c r="J9" s="920"/>
      <c r="K9" s="914"/>
    </row>
    <row r="10" spans="1:11" s="383" customFormat="1" ht="13.2">
      <c r="A10" s="481" t="s">
        <v>76</v>
      </c>
      <c r="B10" s="919">
        <f>'Sources and Uses Budget'!C10</f>
        <v>200000</v>
      </c>
      <c r="C10" s="920"/>
      <c r="D10" s="920"/>
      <c r="E10" s="919">
        <f>'Sources and Uses Budget'!S10</f>
        <v>200000</v>
      </c>
      <c r="F10" s="920"/>
      <c r="G10" s="920"/>
      <c r="H10" s="919">
        <f>'Sources and Uses Budget'!T10</f>
        <v>0</v>
      </c>
      <c r="I10" s="920"/>
      <c r="J10" s="920"/>
      <c r="K10" s="914"/>
    </row>
    <row r="11" spans="1:11" s="383" customFormat="1">
      <c r="A11" s="373" t="s">
        <v>646</v>
      </c>
      <c r="B11" s="919">
        <f>'Sources and Uses Budget'!C11</f>
        <v>760760</v>
      </c>
      <c r="C11" s="919">
        <f>SUM(C9:C10)</f>
        <v>0</v>
      </c>
      <c r="D11" s="919">
        <f>SUM(D9:D10)</f>
        <v>0</v>
      </c>
      <c r="E11" s="921"/>
      <c r="F11" s="921"/>
      <c r="G11" s="921"/>
      <c r="H11" s="919">
        <f>'Sources and Uses Budget'!T11</f>
        <v>0</v>
      </c>
      <c r="I11" s="919">
        <f>SUM(I9:I10)</f>
        <v>0</v>
      </c>
      <c r="J11" s="919">
        <f>SUM(J9:J10)</f>
        <v>0</v>
      </c>
      <c r="K11" s="914"/>
    </row>
    <row r="12" spans="1:11" s="383" customFormat="1">
      <c r="A12" s="373" t="s">
        <v>778</v>
      </c>
      <c r="B12" s="919">
        <f>'Sources and Uses Budget'!C12</f>
        <v>865737</v>
      </c>
      <c r="C12" s="919">
        <f>SUM(C8+C11)</f>
        <v>0</v>
      </c>
      <c r="D12" s="919">
        <f>SUM(D8+D11)</f>
        <v>0</v>
      </c>
      <c r="E12" s="921"/>
      <c r="F12" s="921"/>
      <c r="G12" s="921"/>
      <c r="H12" s="921"/>
      <c r="I12" s="921"/>
      <c r="J12" s="921"/>
      <c r="K12" s="914"/>
    </row>
    <row r="13" spans="1:11" s="383" customFormat="1" ht="11.4">
      <c r="A13" s="721" t="s">
        <v>1229</v>
      </c>
      <c r="B13" s="919">
        <f>'Sources and Uses Budget'!C13</f>
        <v>0</v>
      </c>
      <c r="C13" s="920"/>
      <c r="D13" s="920"/>
      <c r="E13" s="919">
        <f>'Sources and Uses Budget'!S13</f>
        <v>0</v>
      </c>
      <c r="F13" s="920"/>
      <c r="G13" s="920"/>
      <c r="H13" s="919">
        <f>'Sources and Uses Budget'!T13</f>
        <v>0</v>
      </c>
      <c r="I13" s="920"/>
      <c r="J13" s="920"/>
      <c r="K13" s="914"/>
    </row>
    <row r="14" spans="1:11" s="383" customFormat="1" ht="22.8">
      <c r="A14" s="722" t="s">
        <v>1264</v>
      </c>
      <c r="B14" s="919">
        <f>'Sources and Uses Budget'!C14</f>
        <v>0</v>
      </c>
      <c r="C14" s="920"/>
      <c r="D14" s="920"/>
      <c r="E14" s="919">
        <f>'Sources and Uses Budget'!S14</f>
        <v>0</v>
      </c>
      <c r="F14" s="920"/>
      <c r="G14" s="920"/>
      <c r="H14" s="919">
        <f>'Sources and Uses Budget'!T14</f>
        <v>0</v>
      </c>
      <c r="I14" s="920"/>
      <c r="J14" s="920"/>
      <c r="K14" s="914"/>
    </row>
    <row r="15" spans="1:11" s="383" customFormat="1" ht="11.4">
      <c r="A15" s="722" t="s">
        <v>1898</v>
      </c>
      <c r="B15" s="919">
        <f>'Sources and Uses Budget'!C15</f>
        <v>0</v>
      </c>
      <c r="C15" s="920"/>
      <c r="D15" s="920"/>
      <c r="E15" s="921">
        <f>'Sources and Uses Budget'!S15</f>
        <v>0</v>
      </c>
      <c r="F15" s="921"/>
      <c r="G15" s="921"/>
      <c r="H15" s="921">
        <f>'Sources and Uses Budget'!T15</f>
        <v>0</v>
      </c>
      <c r="I15" s="921"/>
      <c r="J15" s="921"/>
      <c r="K15" s="914"/>
    </row>
    <row r="16" spans="1:11" s="383" customFormat="1" ht="11.4">
      <c r="A16" s="365" t="s">
        <v>1013</v>
      </c>
      <c r="B16" s="918"/>
      <c r="C16" s="918"/>
      <c r="D16" s="918"/>
      <c r="E16" s="918"/>
      <c r="F16" s="918"/>
      <c r="G16" s="918"/>
      <c r="H16" s="918"/>
      <c r="I16" s="918"/>
      <c r="J16" s="918"/>
      <c r="K16" s="914"/>
    </row>
    <row r="17" spans="1:11" s="383" customFormat="1" ht="11.4">
      <c r="A17" s="369" t="s">
        <v>1014</v>
      </c>
      <c r="B17" s="919">
        <f>'Sources and Uses Budget'!C17</f>
        <v>0</v>
      </c>
      <c r="C17" s="920"/>
      <c r="D17" s="920"/>
      <c r="E17" s="919">
        <f>'Sources and Uses Budget'!S17</f>
        <v>0</v>
      </c>
      <c r="F17" s="920"/>
      <c r="G17" s="920"/>
      <c r="H17" s="919">
        <f>'Sources and Uses Budget'!T17</f>
        <v>0</v>
      </c>
      <c r="I17" s="920"/>
      <c r="J17" s="920"/>
      <c r="K17" s="914"/>
    </row>
    <row r="18" spans="1:11" s="383" customFormat="1" ht="11.4">
      <c r="A18" s="369" t="s">
        <v>1015</v>
      </c>
      <c r="B18" s="919">
        <f>'Sources and Uses Budget'!C18</f>
        <v>0</v>
      </c>
      <c r="C18" s="920"/>
      <c r="D18" s="920"/>
      <c r="E18" s="919">
        <f>'Sources and Uses Budget'!S18</f>
        <v>0</v>
      </c>
      <c r="F18" s="920"/>
      <c r="G18" s="920"/>
      <c r="H18" s="919">
        <f>'Sources and Uses Budget'!T18</f>
        <v>0</v>
      </c>
      <c r="I18" s="920"/>
      <c r="J18" s="920"/>
      <c r="K18" s="914"/>
    </row>
    <row r="19" spans="1:11" s="383" customFormat="1" ht="11.4">
      <c r="A19" s="369" t="s">
        <v>1016</v>
      </c>
      <c r="B19" s="919">
        <f>'Sources and Uses Budget'!C19</f>
        <v>0</v>
      </c>
      <c r="C19" s="920"/>
      <c r="D19" s="920"/>
      <c r="E19" s="919">
        <f>'Sources and Uses Budget'!S19</f>
        <v>0</v>
      </c>
      <c r="F19" s="920"/>
      <c r="G19" s="920"/>
      <c r="H19" s="919">
        <f>'Sources and Uses Budget'!T19</f>
        <v>0</v>
      </c>
      <c r="I19" s="920"/>
      <c r="J19" s="920"/>
      <c r="K19" s="914"/>
    </row>
    <row r="20" spans="1:11" s="383" customFormat="1" ht="11.4">
      <c r="A20" s="369" t="s">
        <v>1017</v>
      </c>
      <c r="B20" s="919">
        <f>'Sources and Uses Budget'!C20</f>
        <v>0</v>
      </c>
      <c r="C20" s="920"/>
      <c r="D20" s="920"/>
      <c r="E20" s="919">
        <f>'Sources and Uses Budget'!S20</f>
        <v>0</v>
      </c>
      <c r="F20" s="920"/>
      <c r="G20" s="920"/>
      <c r="H20" s="919">
        <f>'Sources and Uses Budget'!T20</f>
        <v>0</v>
      </c>
      <c r="I20" s="920"/>
      <c r="J20" s="920"/>
      <c r="K20" s="914"/>
    </row>
    <row r="21" spans="1:11" s="383" customFormat="1" ht="11.4">
      <c r="A21" s="369" t="s">
        <v>1018</v>
      </c>
      <c r="B21" s="919">
        <f>'Sources and Uses Budget'!C21</f>
        <v>0</v>
      </c>
      <c r="C21" s="920"/>
      <c r="D21" s="920"/>
      <c r="E21" s="919">
        <f>'Sources and Uses Budget'!S21</f>
        <v>0</v>
      </c>
      <c r="F21" s="920"/>
      <c r="G21" s="920"/>
      <c r="H21" s="919">
        <f>'Sources and Uses Budget'!T21</f>
        <v>0</v>
      </c>
      <c r="I21" s="920"/>
      <c r="J21" s="920"/>
      <c r="K21" s="914"/>
    </row>
    <row r="22" spans="1:11" s="383" customFormat="1" ht="11.4">
      <c r="A22" s="369" t="s">
        <v>1019</v>
      </c>
      <c r="B22" s="919">
        <f>'Sources and Uses Budget'!C22</f>
        <v>0</v>
      </c>
      <c r="C22" s="920"/>
      <c r="D22" s="920"/>
      <c r="E22" s="919">
        <f>'Sources and Uses Budget'!S22</f>
        <v>0</v>
      </c>
      <c r="F22" s="920"/>
      <c r="G22" s="920"/>
      <c r="H22" s="919">
        <f>'Sources and Uses Budget'!T22</f>
        <v>0</v>
      </c>
      <c r="I22" s="920"/>
      <c r="J22" s="920"/>
      <c r="K22" s="914"/>
    </row>
    <row r="23" spans="1:11" s="383" customFormat="1" ht="11.4">
      <c r="A23" s="369" t="s">
        <v>1020</v>
      </c>
      <c r="B23" s="919">
        <f>'Sources and Uses Budget'!C23</f>
        <v>0</v>
      </c>
      <c r="C23" s="920"/>
      <c r="D23" s="920"/>
      <c r="E23" s="919">
        <f>'Sources and Uses Budget'!S23</f>
        <v>0</v>
      </c>
      <c r="F23" s="920"/>
      <c r="G23" s="920"/>
      <c r="H23" s="919">
        <f>'Sources and Uses Budget'!T23</f>
        <v>0</v>
      </c>
      <c r="I23" s="920"/>
      <c r="J23" s="920"/>
      <c r="K23" s="914"/>
    </row>
    <row r="24" spans="1:11" s="383" customFormat="1" ht="11.4">
      <c r="A24" s="722" t="str">
        <f>'Sources and Uses Budget'!$A25</f>
        <v>Other: (Specify)</v>
      </c>
      <c r="B24" s="919">
        <f>'Sources and Uses Budget'!C25</f>
        <v>0</v>
      </c>
      <c r="C24" s="920"/>
      <c r="D24" s="920"/>
      <c r="E24" s="919">
        <f>'Sources and Uses Budget'!S25</f>
        <v>0</v>
      </c>
      <c r="F24" s="920"/>
      <c r="G24" s="920"/>
      <c r="H24" s="919">
        <f>'Sources and Uses Budget'!T25</f>
        <v>0</v>
      </c>
      <c r="I24" s="920"/>
      <c r="J24" s="920"/>
      <c r="K24" s="914"/>
    </row>
    <row r="25" spans="1:11" s="383" customFormat="1">
      <c r="A25" s="373" t="s">
        <v>248</v>
      </c>
      <c r="B25" s="919">
        <f>'Sources and Uses Budget'!C26</f>
        <v>0</v>
      </c>
      <c r="C25" s="919">
        <f>SUM(C17:C24)</f>
        <v>0</v>
      </c>
      <c r="D25" s="919">
        <f>SUM(D17:D24)</f>
        <v>0</v>
      </c>
      <c r="E25" s="919">
        <f>'Sources and Uses Budget'!S26</f>
        <v>0</v>
      </c>
      <c r="F25" s="922">
        <f>SUM(F17:F24)</f>
        <v>0</v>
      </c>
      <c r="G25" s="922">
        <f>SUM(G17:G24)</f>
        <v>0</v>
      </c>
      <c r="H25" s="919">
        <f>'Sources and Uses Budget'!T26</f>
        <v>0</v>
      </c>
      <c r="I25" s="922">
        <f>SUM(I17:I24)</f>
        <v>0</v>
      </c>
      <c r="J25" s="922">
        <f>SUM(J17:J24)</f>
        <v>0</v>
      </c>
      <c r="K25" s="914"/>
    </row>
    <row r="26" spans="1:11" s="383" customFormat="1">
      <c r="A26" s="373" t="s">
        <v>1021</v>
      </c>
      <c r="B26" s="919">
        <f>'Sources and Uses Budget'!C27</f>
        <v>39509</v>
      </c>
      <c r="C26" s="920"/>
      <c r="D26" s="920"/>
      <c r="E26" s="919">
        <f>'Sources and Uses Budget'!S27</f>
        <v>0</v>
      </c>
      <c r="F26" s="920"/>
      <c r="G26" s="920"/>
      <c r="H26" s="919">
        <f>'Sources and Uses Budget'!T27</f>
        <v>0</v>
      </c>
      <c r="I26" s="920"/>
      <c r="J26" s="920"/>
      <c r="K26" s="914"/>
    </row>
    <row r="27" spans="1:11" s="383" customFormat="1" ht="11.4">
      <c r="A27" s="365" t="s">
        <v>1022</v>
      </c>
      <c r="B27" s="918"/>
      <c r="C27" s="918"/>
      <c r="D27" s="918"/>
      <c r="E27" s="918"/>
      <c r="F27" s="918"/>
      <c r="G27" s="918"/>
      <c r="H27" s="918"/>
      <c r="I27" s="918"/>
      <c r="J27" s="918"/>
      <c r="K27" s="914"/>
    </row>
    <row r="28" spans="1:11" s="383" customFormat="1" ht="11.4">
      <c r="A28" s="369" t="s">
        <v>1014</v>
      </c>
      <c r="B28" s="919">
        <f>'Sources and Uses Budget'!C29</f>
        <v>0</v>
      </c>
      <c r="C28" s="920"/>
      <c r="D28" s="920"/>
      <c r="E28" s="919">
        <f>'Sources and Uses Budget'!S29</f>
        <v>0</v>
      </c>
      <c r="F28" s="920"/>
      <c r="G28" s="920"/>
      <c r="H28" s="919">
        <f>'Sources and Uses Budget'!T29</f>
        <v>0</v>
      </c>
      <c r="I28" s="920"/>
      <c r="J28" s="920"/>
      <c r="K28" s="914"/>
    </row>
    <row r="29" spans="1:11" s="383" customFormat="1" ht="11.4">
      <c r="A29" s="369" t="s">
        <v>1015</v>
      </c>
      <c r="B29" s="919">
        <f>'Sources and Uses Budget'!C30</f>
        <v>14085077</v>
      </c>
      <c r="C29" s="920"/>
      <c r="D29" s="920"/>
      <c r="E29" s="919">
        <f>'Sources and Uses Budget'!S30</f>
        <v>14085077</v>
      </c>
      <c r="F29" s="920"/>
      <c r="G29" s="920"/>
      <c r="H29" s="919">
        <f>'Sources and Uses Budget'!T30</f>
        <v>0</v>
      </c>
      <c r="I29" s="920"/>
      <c r="J29" s="920"/>
      <c r="K29" s="914"/>
    </row>
    <row r="30" spans="1:11" s="383" customFormat="1" ht="11.4">
      <c r="A30" s="369" t="s">
        <v>1016</v>
      </c>
      <c r="B30" s="919">
        <f>'Sources and Uses Budget'!C31</f>
        <v>772401</v>
      </c>
      <c r="C30" s="920"/>
      <c r="D30" s="920"/>
      <c r="E30" s="919">
        <f>'Sources and Uses Budget'!S31</f>
        <v>772401</v>
      </c>
      <c r="F30" s="920"/>
      <c r="G30" s="920"/>
      <c r="H30" s="919">
        <f>'Sources and Uses Budget'!T31</f>
        <v>0</v>
      </c>
      <c r="I30" s="920"/>
      <c r="J30" s="920"/>
      <c r="K30" s="914"/>
    </row>
    <row r="31" spans="1:11" s="383" customFormat="1" ht="11.4">
      <c r="A31" s="369" t="s">
        <v>1017</v>
      </c>
      <c r="B31" s="919">
        <f>'Sources and Uses Budget'!C32</f>
        <v>772286</v>
      </c>
      <c r="C31" s="920"/>
      <c r="D31" s="920"/>
      <c r="E31" s="919">
        <f>'Sources and Uses Budget'!S32</f>
        <v>772286</v>
      </c>
      <c r="F31" s="920"/>
      <c r="G31" s="920"/>
      <c r="H31" s="919">
        <f>'Sources and Uses Budget'!T32</f>
        <v>0</v>
      </c>
      <c r="I31" s="920"/>
      <c r="J31" s="920"/>
      <c r="K31" s="914"/>
    </row>
    <row r="32" spans="1:11" s="383" customFormat="1" ht="11.4">
      <c r="A32" s="369" t="s">
        <v>1018</v>
      </c>
      <c r="B32" s="919">
        <f>'Sources and Uses Budget'!C33</f>
        <v>0</v>
      </c>
      <c r="C32" s="920"/>
      <c r="D32" s="920"/>
      <c r="E32" s="919">
        <f>'Sources and Uses Budget'!S33</f>
        <v>0</v>
      </c>
      <c r="F32" s="920"/>
      <c r="G32" s="920"/>
      <c r="H32" s="919">
        <f>'Sources and Uses Budget'!T33</f>
        <v>0</v>
      </c>
      <c r="I32" s="920"/>
      <c r="J32" s="920"/>
      <c r="K32" s="914"/>
    </row>
    <row r="33" spans="1:11" s="383" customFormat="1" ht="11.4">
      <c r="A33" s="369" t="s">
        <v>1019</v>
      </c>
      <c r="B33" s="919">
        <f>'Sources and Uses Budget'!C34</f>
        <v>0</v>
      </c>
      <c r="C33" s="920"/>
      <c r="D33" s="920"/>
      <c r="E33" s="919">
        <f>'Sources and Uses Budget'!S34</f>
        <v>0</v>
      </c>
      <c r="F33" s="920"/>
      <c r="G33" s="920"/>
      <c r="H33" s="919">
        <f>'Sources and Uses Budget'!T34</f>
        <v>0</v>
      </c>
      <c r="I33" s="920"/>
      <c r="J33" s="920"/>
      <c r="K33" s="914"/>
    </row>
    <row r="34" spans="1:11" s="383" customFormat="1" ht="11.4">
      <c r="A34" s="369" t="s">
        <v>1020</v>
      </c>
      <c r="B34" s="919">
        <f>'Sources and Uses Budget'!C35</f>
        <v>0</v>
      </c>
      <c r="C34" s="920"/>
      <c r="D34" s="920"/>
      <c r="E34" s="919">
        <f>'Sources and Uses Budget'!S35</f>
        <v>0</v>
      </c>
      <c r="F34" s="920"/>
      <c r="G34" s="920"/>
      <c r="H34" s="919">
        <f>'Sources and Uses Budget'!T35</f>
        <v>0</v>
      </c>
      <c r="I34" s="920"/>
      <c r="J34" s="920"/>
      <c r="K34" s="914"/>
    </row>
    <row r="35" spans="1:11" s="383" customFormat="1" ht="11.4">
      <c r="A35" s="722" t="str">
        <f>'Sources and Uses Budget'!$A37</f>
        <v>Other: PV System</v>
      </c>
      <c r="B35" s="919">
        <f>'Sources and Uses Budget'!C37</f>
        <v>245140</v>
      </c>
      <c r="C35" s="920"/>
      <c r="D35" s="920"/>
      <c r="E35" s="919">
        <f>'Sources and Uses Budget'!S37</f>
        <v>245140</v>
      </c>
      <c r="F35" s="920"/>
      <c r="G35" s="920"/>
      <c r="H35" s="919">
        <f>'Sources and Uses Budget'!T37</f>
        <v>0</v>
      </c>
      <c r="I35" s="920"/>
      <c r="J35" s="920"/>
      <c r="K35" s="914"/>
    </row>
    <row r="36" spans="1:11" s="383" customFormat="1">
      <c r="A36" s="912" t="s">
        <v>1023</v>
      </c>
      <c r="B36" s="919">
        <f>'Sources and Uses Budget'!C38</f>
        <v>15874904</v>
      </c>
      <c r="C36" s="919">
        <f>SUM(C28:C35)</f>
        <v>0</v>
      </c>
      <c r="D36" s="919">
        <f>SUM(D28:D35)</f>
        <v>0</v>
      </c>
      <c r="E36" s="919">
        <f>'Sources and Uses Budget'!S38</f>
        <v>15874904</v>
      </c>
      <c r="F36" s="922">
        <f>SUM(F28:F35)</f>
        <v>0</v>
      </c>
      <c r="G36" s="922">
        <f>SUM(G28:G35)</f>
        <v>0</v>
      </c>
      <c r="H36" s="919">
        <f>'Sources and Uses Budget'!T38</f>
        <v>0</v>
      </c>
      <c r="I36" s="922">
        <f>SUM(I28:I35)</f>
        <v>0</v>
      </c>
      <c r="J36" s="922">
        <f>SUM(J28:J35)</f>
        <v>0</v>
      </c>
      <c r="K36" s="914"/>
    </row>
    <row r="37" spans="1:11" s="383" customFormat="1" ht="11.4">
      <c r="A37" s="365" t="s">
        <v>1024</v>
      </c>
      <c r="B37" s="918"/>
      <c r="C37" s="918"/>
      <c r="D37" s="918"/>
      <c r="E37" s="918"/>
      <c r="F37" s="918"/>
      <c r="G37" s="918"/>
      <c r="H37" s="918"/>
      <c r="I37" s="918"/>
      <c r="J37" s="918"/>
      <c r="K37" s="914"/>
    </row>
    <row r="38" spans="1:11" s="383" customFormat="1" ht="11.4">
      <c r="A38" s="369" t="s">
        <v>1025</v>
      </c>
      <c r="B38" s="919">
        <f>'Sources and Uses Budget'!C40</f>
        <v>888953</v>
      </c>
      <c r="C38" s="920"/>
      <c r="D38" s="920"/>
      <c r="E38" s="919">
        <f>'Sources and Uses Budget'!S40</f>
        <v>888953</v>
      </c>
      <c r="F38" s="920"/>
      <c r="G38" s="920"/>
      <c r="H38" s="919">
        <f>'Sources and Uses Budget'!T40</f>
        <v>0</v>
      </c>
      <c r="I38" s="920"/>
      <c r="J38" s="920"/>
      <c r="K38" s="914"/>
    </row>
    <row r="39" spans="1:11" s="383" customFormat="1" ht="11.4">
      <c r="A39" s="369" t="s">
        <v>1026</v>
      </c>
      <c r="B39" s="919">
        <f>'Sources and Uses Budget'!C41</f>
        <v>0</v>
      </c>
      <c r="C39" s="920"/>
      <c r="D39" s="920"/>
      <c r="E39" s="919">
        <f>'Sources and Uses Budget'!S41</f>
        <v>0</v>
      </c>
      <c r="F39" s="920"/>
      <c r="G39" s="920"/>
      <c r="H39" s="919">
        <f>'Sources and Uses Budget'!T41</f>
        <v>0</v>
      </c>
      <c r="I39" s="920"/>
      <c r="J39" s="920"/>
      <c r="K39" s="914"/>
    </row>
    <row r="40" spans="1:11" s="383" customFormat="1">
      <c r="A40" s="373" t="s">
        <v>1027</v>
      </c>
      <c r="B40" s="919">
        <f>'Sources and Uses Budget'!C42</f>
        <v>888953</v>
      </c>
      <c r="C40" s="919">
        <f>SUM(C37:C39)</f>
        <v>0</v>
      </c>
      <c r="D40" s="919">
        <f>SUM(D37:D39)</f>
        <v>0</v>
      </c>
      <c r="E40" s="919">
        <f>'Sources and Uses Budget'!S42</f>
        <v>888953</v>
      </c>
      <c r="F40" s="922">
        <f>SUM(F38:F39)</f>
        <v>0</v>
      </c>
      <c r="G40" s="922">
        <f>SUM(G38:G39)</f>
        <v>0</v>
      </c>
      <c r="H40" s="919">
        <f>'Sources and Uses Budget'!T42</f>
        <v>0</v>
      </c>
      <c r="I40" s="922">
        <f>SUM(I38:I39)</f>
        <v>0</v>
      </c>
      <c r="J40" s="922">
        <f>SUM(J38:J39)</f>
        <v>0</v>
      </c>
      <c r="K40" s="914"/>
    </row>
    <row r="41" spans="1:11" s="383" customFormat="1">
      <c r="A41" s="373" t="s">
        <v>1028</v>
      </c>
      <c r="B41" s="919">
        <f>'Sources and Uses Budget'!C43</f>
        <v>98773</v>
      </c>
      <c r="C41" s="920"/>
      <c r="D41" s="920"/>
      <c r="E41" s="919">
        <f>'Sources and Uses Budget'!S43</f>
        <v>98773</v>
      </c>
      <c r="F41" s="920"/>
      <c r="G41" s="920"/>
      <c r="H41" s="919">
        <f>'Sources and Uses Budget'!T43</f>
        <v>0</v>
      </c>
      <c r="I41" s="920"/>
      <c r="J41" s="920"/>
      <c r="K41" s="914"/>
    </row>
    <row r="42" spans="1:11" s="383" customFormat="1" ht="11.4">
      <c r="A42" s="365" t="s">
        <v>1029</v>
      </c>
      <c r="B42" s="918"/>
      <c r="C42" s="918"/>
      <c r="D42" s="918"/>
      <c r="E42" s="918"/>
      <c r="F42" s="918"/>
      <c r="G42" s="918"/>
      <c r="H42" s="918"/>
      <c r="I42" s="918"/>
      <c r="J42" s="918"/>
      <c r="K42" s="914"/>
    </row>
    <row r="43" spans="1:11" s="383" customFormat="1" ht="11.4">
      <c r="A43" s="369" t="s">
        <v>1030</v>
      </c>
      <c r="B43" s="919">
        <f>'Sources and Uses Budget'!C45</f>
        <v>657273</v>
      </c>
      <c r="C43" s="920"/>
      <c r="D43" s="920"/>
      <c r="E43" s="919">
        <f>'Sources and Uses Budget'!S45</f>
        <v>240268</v>
      </c>
      <c r="F43" s="920"/>
      <c r="G43" s="920"/>
      <c r="H43" s="919">
        <f>'Sources and Uses Budget'!T45</f>
        <v>0</v>
      </c>
      <c r="I43" s="920"/>
      <c r="J43" s="920"/>
      <c r="K43" s="914"/>
    </row>
    <row r="44" spans="1:11" s="383" customFormat="1" ht="11.4">
      <c r="A44" s="369" t="s">
        <v>1031</v>
      </c>
      <c r="B44" s="919">
        <f>'Sources and Uses Budget'!C46</f>
        <v>199430</v>
      </c>
      <c r="C44" s="920"/>
      <c r="D44" s="920"/>
      <c r="E44" s="919">
        <f>'Sources and Uses Budget'!S46</f>
        <v>75840</v>
      </c>
      <c r="F44" s="920"/>
      <c r="G44" s="920"/>
      <c r="H44" s="919">
        <f>'Sources and Uses Budget'!T46</f>
        <v>0</v>
      </c>
      <c r="I44" s="920"/>
      <c r="J44" s="920"/>
      <c r="K44" s="914"/>
    </row>
    <row r="45" spans="1:11" s="383" customFormat="1" ht="12" customHeight="1">
      <c r="A45" s="369" t="s">
        <v>1032</v>
      </c>
      <c r="B45" s="919">
        <f>'Sources and Uses Budget'!C47</f>
        <v>0</v>
      </c>
      <c r="C45" s="920"/>
      <c r="D45" s="920"/>
      <c r="E45" s="919">
        <f>'Sources and Uses Budget'!S47</f>
        <v>0</v>
      </c>
      <c r="F45" s="920"/>
      <c r="G45" s="920"/>
      <c r="H45" s="919">
        <f>'Sources and Uses Budget'!T47</f>
        <v>0</v>
      </c>
      <c r="I45" s="920"/>
      <c r="J45" s="920"/>
      <c r="K45" s="914"/>
    </row>
    <row r="46" spans="1:11" s="383" customFormat="1" ht="11.4">
      <c r="A46" s="369" t="s">
        <v>1033</v>
      </c>
      <c r="B46" s="919">
        <f>'Sources and Uses Budget'!C48</f>
        <v>0</v>
      </c>
      <c r="C46" s="920"/>
      <c r="D46" s="920"/>
      <c r="E46" s="919">
        <f>'Sources and Uses Budget'!S48</f>
        <v>0</v>
      </c>
      <c r="F46" s="920"/>
      <c r="G46" s="920"/>
      <c r="H46" s="919">
        <f>'Sources and Uses Budget'!T48</f>
        <v>0</v>
      </c>
      <c r="I46" s="920"/>
      <c r="J46" s="920"/>
      <c r="K46" s="914"/>
    </row>
    <row r="47" spans="1:11" s="383" customFormat="1" ht="11.4">
      <c r="A47" s="369" t="s">
        <v>1036</v>
      </c>
      <c r="B47" s="919">
        <f>'Sources and Uses Budget'!C49</f>
        <v>35000</v>
      </c>
      <c r="C47" s="920"/>
      <c r="D47" s="920"/>
      <c r="E47" s="919">
        <f>'Sources and Uses Budget'!S49</f>
        <v>35000</v>
      </c>
      <c r="F47" s="920"/>
      <c r="G47" s="920"/>
      <c r="H47" s="919">
        <f>'Sources and Uses Budget'!T49</f>
        <v>0</v>
      </c>
      <c r="I47" s="920"/>
      <c r="J47" s="920"/>
      <c r="K47" s="914"/>
    </row>
    <row r="48" spans="1:11" s="383" customFormat="1" ht="11.4">
      <c r="A48" s="369" t="s">
        <v>1034</v>
      </c>
      <c r="B48" s="919">
        <f>'Sources and Uses Budget'!C50</f>
        <v>59264</v>
      </c>
      <c r="C48" s="920"/>
      <c r="D48" s="920"/>
      <c r="E48" s="919">
        <f>'Sources and Uses Budget'!S50</f>
        <v>40316</v>
      </c>
      <c r="F48" s="920"/>
      <c r="G48" s="920"/>
      <c r="H48" s="919">
        <f>'Sources and Uses Budget'!T50</f>
        <v>0</v>
      </c>
      <c r="I48" s="920"/>
      <c r="J48" s="920"/>
      <c r="K48" s="914"/>
    </row>
    <row r="49" spans="1:11" s="383" customFormat="1" ht="11.4">
      <c r="A49" s="369" t="s">
        <v>1035</v>
      </c>
      <c r="B49" s="919">
        <f>'Sources and Uses Budget'!C51</f>
        <v>54325</v>
      </c>
      <c r="C49" s="920"/>
      <c r="D49" s="920"/>
      <c r="E49" s="919">
        <f>'Sources and Uses Budget'!S51</f>
        <v>54325</v>
      </c>
      <c r="F49" s="920"/>
      <c r="G49" s="920"/>
      <c r="H49" s="919">
        <f>'Sources and Uses Budget'!T51</f>
        <v>0</v>
      </c>
      <c r="I49" s="920"/>
      <c r="J49" s="920"/>
      <c r="K49" s="914"/>
    </row>
    <row r="50" spans="1:11" s="383" customFormat="1" ht="11.4">
      <c r="A50" s="722">
        <f>'Sources and Uses Budget'!$A52</f>
        <v>0</v>
      </c>
      <c r="B50" s="919">
        <f>'Sources and Uses Budget'!C52</f>
        <v>0</v>
      </c>
      <c r="C50" s="920"/>
      <c r="D50" s="920"/>
      <c r="E50" s="919">
        <f>'Sources and Uses Budget'!S52</f>
        <v>0</v>
      </c>
      <c r="F50" s="920"/>
      <c r="G50" s="920"/>
      <c r="H50" s="919">
        <f>'Sources and Uses Budget'!T52</f>
        <v>0</v>
      </c>
      <c r="I50" s="920"/>
      <c r="J50" s="920"/>
      <c r="K50" s="914"/>
    </row>
    <row r="51" spans="1:11" s="911" customFormat="1">
      <c r="A51" s="373" t="s">
        <v>1037</v>
      </c>
      <c r="B51" s="919">
        <f>'Sources and Uses Budget'!C53</f>
        <v>1005292</v>
      </c>
      <c r="C51" s="922">
        <f>SUM(C43:C50)</f>
        <v>0</v>
      </c>
      <c r="D51" s="922">
        <f>SUM(D43:D50)</f>
        <v>0</v>
      </c>
      <c r="E51" s="919">
        <f>'Sources and Uses Budget'!S53</f>
        <v>445749</v>
      </c>
      <c r="F51" s="922">
        <f>SUM(F43:F50)</f>
        <v>0</v>
      </c>
      <c r="G51" s="922">
        <f>SUM(G43:G50)</f>
        <v>0</v>
      </c>
      <c r="H51" s="919">
        <f>'Sources and Uses Budget'!T53</f>
        <v>0</v>
      </c>
      <c r="I51" s="922">
        <f>SUM(I43:I50)</f>
        <v>0</v>
      </c>
      <c r="J51" s="922">
        <f>SUM(J43:J50)</f>
        <v>0</v>
      </c>
      <c r="K51" s="915"/>
    </row>
    <row r="52" spans="1:11" s="383" customFormat="1" ht="11.4">
      <c r="A52" s="365" t="s">
        <v>749</v>
      </c>
      <c r="B52" s="918"/>
      <c r="C52" s="918"/>
      <c r="D52" s="918"/>
      <c r="E52" s="918"/>
      <c r="F52" s="918"/>
      <c r="G52" s="918"/>
      <c r="H52" s="918"/>
      <c r="I52" s="918"/>
      <c r="J52" s="918"/>
      <c r="K52" s="914"/>
    </row>
    <row r="53" spans="1:11" s="383" customFormat="1" ht="11.4">
      <c r="A53" s="369" t="s">
        <v>1038</v>
      </c>
      <c r="B53" s="919">
        <f>'Sources and Uses Budget'!C55</f>
        <v>0</v>
      </c>
      <c r="C53" s="920"/>
      <c r="D53" s="920"/>
      <c r="E53" s="921"/>
      <c r="F53" s="921"/>
      <c r="G53" s="921"/>
      <c r="H53" s="921"/>
      <c r="I53" s="921"/>
      <c r="J53" s="921"/>
      <c r="K53" s="914"/>
    </row>
    <row r="54" spans="1:11" s="383" customFormat="1" ht="12" customHeight="1">
      <c r="A54" s="369" t="s">
        <v>1032</v>
      </c>
      <c r="B54" s="919">
        <f>'Sources and Uses Budget'!C56</f>
        <v>0</v>
      </c>
      <c r="C54" s="920"/>
      <c r="D54" s="920"/>
      <c r="E54" s="921"/>
      <c r="F54" s="921"/>
      <c r="G54" s="921"/>
      <c r="H54" s="921"/>
      <c r="I54" s="921"/>
      <c r="J54" s="921"/>
      <c r="K54" s="914"/>
    </row>
    <row r="55" spans="1:11" s="383" customFormat="1" ht="11.4">
      <c r="A55" s="369" t="s">
        <v>1036</v>
      </c>
      <c r="B55" s="919">
        <f>'Sources and Uses Budget'!C57</f>
        <v>15000</v>
      </c>
      <c r="C55" s="920"/>
      <c r="D55" s="920"/>
      <c r="E55" s="921"/>
      <c r="F55" s="921"/>
      <c r="G55" s="921"/>
      <c r="H55" s="921"/>
      <c r="I55" s="921"/>
      <c r="J55" s="921"/>
      <c r="K55" s="914"/>
    </row>
    <row r="56" spans="1:11" s="383" customFormat="1" ht="11.4">
      <c r="A56" s="369" t="s">
        <v>1034</v>
      </c>
      <c r="B56" s="919">
        <f>'Sources and Uses Budget'!C58</f>
        <v>0</v>
      </c>
      <c r="C56" s="920"/>
      <c r="D56" s="920"/>
      <c r="E56" s="921"/>
      <c r="F56" s="921"/>
      <c r="G56" s="921"/>
      <c r="H56" s="921"/>
      <c r="I56" s="921"/>
      <c r="J56" s="921"/>
      <c r="K56" s="914"/>
    </row>
    <row r="57" spans="1:11" s="383" customFormat="1" ht="11.4">
      <c r="A57" s="369" t="s">
        <v>1035</v>
      </c>
      <c r="B57" s="919">
        <f>'Sources and Uses Budget'!C59</f>
        <v>0</v>
      </c>
      <c r="C57" s="920"/>
      <c r="D57" s="920"/>
      <c r="E57" s="921"/>
      <c r="F57" s="921"/>
      <c r="G57" s="921"/>
      <c r="H57" s="921"/>
      <c r="I57" s="921"/>
      <c r="J57" s="921"/>
      <c r="K57" s="914"/>
    </row>
    <row r="58" spans="1:11" s="383" customFormat="1" ht="11.4">
      <c r="A58" s="722" t="str">
        <f>'Sources and Uses Budget'!$A60</f>
        <v>Other: (Specify)</v>
      </c>
      <c r="B58" s="919">
        <f>'Sources and Uses Budget'!C60</f>
        <v>0</v>
      </c>
      <c r="C58" s="920"/>
      <c r="D58" s="920"/>
      <c r="E58" s="921"/>
      <c r="F58" s="921"/>
      <c r="G58" s="921"/>
      <c r="H58" s="921"/>
      <c r="I58" s="921"/>
      <c r="J58" s="921"/>
      <c r="K58" s="914"/>
    </row>
    <row r="59" spans="1:11" s="383" customFormat="1" ht="14.1" customHeight="1">
      <c r="A59" s="373" t="s">
        <v>549</v>
      </c>
      <c r="B59" s="919">
        <f>'Sources and Uses Budget'!C61</f>
        <v>15000</v>
      </c>
      <c r="C59" s="919">
        <f>SUM(C53:C58)</f>
        <v>0</v>
      </c>
      <c r="D59" s="919">
        <f>SUM(D53:D58)</f>
        <v>0</v>
      </c>
      <c r="E59" s="921"/>
      <c r="F59" s="921"/>
      <c r="G59" s="921"/>
      <c r="H59" s="921"/>
      <c r="I59" s="921"/>
      <c r="J59" s="921"/>
      <c r="K59" s="914"/>
    </row>
    <row r="60" spans="1:11" s="383" customFormat="1" ht="11.4">
      <c r="A60" s="379" t="s">
        <v>550</v>
      </c>
      <c r="B60" s="919">
        <f>'Sources and Uses Budget'!C62</f>
        <v>18788168</v>
      </c>
      <c r="C60" s="919">
        <f>SUM(C8+C11+C13+C14+C15+C25+C26+C36+C40+C41+C51+C59)</f>
        <v>0</v>
      </c>
      <c r="D60" s="919">
        <f>SUM(D8+D11+D13+D14+D15+D25+D26+D36+D40+D41+D51+D59)</f>
        <v>0</v>
      </c>
      <c r="E60" s="919">
        <f>'Sources and Uses Budget'!S62</f>
        <v>17508379</v>
      </c>
      <c r="F60" s="919">
        <f>SUM(F10+F13+F14+F15+F25+F26+F36+F40+F41+F51)</f>
        <v>0</v>
      </c>
      <c r="G60" s="919">
        <f>SUM(G10+G13+G14+G15+G25+G26+G36+G40+G41+G51)</f>
        <v>0</v>
      </c>
      <c r="H60" s="919">
        <f>'Sources and Uses Budget'!T62</f>
        <v>0</v>
      </c>
      <c r="I60" s="919">
        <f>SUM(I11+I13+I14+I15+I25+I26+I36+I40+I41+I51)</f>
        <v>0</v>
      </c>
      <c r="J60" s="919">
        <f>SUM(J11+J13+J14+J15+J25+J26+J36+J40+J41+J51)</f>
        <v>0</v>
      </c>
      <c r="K60" s="914"/>
    </row>
    <row r="61" spans="1:11" s="383" customFormat="1" ht="22.8">
      <c r="A61" s="365" t="s">
        <v>2248</v>
      </c>
      <c r="B61" s="918"/>
      <c r="C61" s="918"/>
      <c r="D61" s="918"/>
      <c r="E61" s="918"/>
      <c r="F61" s="918"/>
      <c r="G61" s="918"/>
      <c r="H61" s="918"/>
      <c r="I61" s="918"/>
      <c r="J61" s="918"/>
      <c r="K61" s="914"/>
    </row>
    <row r="62" spans="1:11" s="383" customFormat="1" ht="11.4">
      <c r="A62" s="369" t="s">
        <v>312</v>
      </c>
      <c r="B62" s="919">
        <f>'Sources and Uses Budget'!C64</f>
        <v>45000</v>
      </c>
      <c r="C62" s="920"/>
      <c r="D62" s="920"/>
      <c r="E62" s="919">
        <f>'Sources and Uses Budget'!S64</f>
        <v>17113</v>
      </c>
      <c r="F62" s="920"/>
      <c r="G62" s="920"/>
      <c r="H62" s="919">
        <f>'Sources and Uses Budget'!T64</f>
        <v>0</v>
      </c>
      <c r="I62" s="920"/>
      <c r="J62" s="920"/>
      <c r="K62" s="914"/>
    </row>
    <row r="63" spans="1:11" s="1388" customFormat="1" ht="22.8">
      <c r="A63" s="369" t="s">
        <v>2249</v>
      </c>
      <c r="B63" s="919">
        <f>'Sources and Uses Budget'!C65</f>
        <v>0</v>
      </c>
      <c r="C63" s="920"/>
      <c r="D63" s="920"/>
      <c r="E63" s="919">
        <f>'Sources and Uses Budget'!S65</f>
        <v>0</v>
      </c>
      <c r="F63" s="920"/>
      <c r="G63" s="920"/>
      <c r="H63" s="919">
        <f>'Sources and Uses Budget'!T65</f>
        <v>0</v>
      </c>
      <c r="I63" s="920"/>
      <c r="J63" s="920"/>
      <c r="K63" s="914"/>
    </row>
    <row r="64" spans="1:11" s="1388" customFormat="1" ht="22.8">
      <c r="A64" s="369" t="s">
        <v>2250</v>
      </c>
      <c r="B64" s="919">
        <f>'Sources and Uses Budget'!C66</f>
        <v>0</v>
      </c>
      <c r="C64" s="920"/>
      <c r="D64" s="920"/>
      <c r="E64" s="919">
        <f>'Sources and Uses Budget'!S66</f>
        <v>0</v>
      </c>
      <c r="F64" s="920"/>
      <c r="G64" s="920"/>
      <c r="H64" s="919">
        <f>'Sources and Uses Budget'!T66</f>
        <v>0</v>
      </c>
      <c r="I64" s="920"/>
      <c r="J64" s="920"/>
      <c r="K64" s="914"/>
    </row>
    <row r="65" spans="1:11" s="1388" customFormat="1" ht="11.4">
      <c r="A65" s="369" t="s">
        <v>2251</v>
      </c>
      <c r="B65" s="919">
        <f>'Sources and Uses Budget'!C67</f>
        <v>0</v>
      </c>
      <c r="C65" s="920"/>
      <c r="D65" s="920"/>
      <c r="E65" s="919">
        <f>'Sources and Uses Budget'!S67</f>
        <v>0</v>
      </c>
      <c r="F65" s="920"/>
      <c r="G65" s="920"/>
      <c r="H65" s="919">
        <f>'Sources and Uses Budget'!T67</f>
        <v>0</v>
      </c>
      <c r="I65" s="920"/>
      <c r="J65" s="920"/>
      <c r="K65" s="914"/>
    </row>
    <row r="66" spans="1:11" s="383" customFormat="1" ht="11.4">
      <c r="A66" s="722" t="str">
        <f>'Sources and Uses Budget'!$A68</f>
        <v>Other:  Transaction Legal</v>
      </c>
      <c r="B66" s="919">
        <f>'Sources and Uses Budget'!C68</f>
        <v>128404</v>
      </c>
      <c r="C66" s="920"/>
      <c r="D66" s="920"/>
      <c r="E66" s="919">
        <f>'Sources and Uses Budget'!S68</f>
        <v>128404</v>
      </c>
      <c r="F66" s="920"/>
      <c r="G66" s="920"/>
      <c r="H66" s="919">
        <f>'Sources and Uses Budget'!T68</f>
        <v>0</v>
      </c>
      <c r="I66" s="920"/>
      <c r="J66" s="920"/>
      <c r="K66" s="914"/>
    </row>
    <row r="67" spans="1:11" s="383" customFormat="1">
      <c r="A67" s="373" t="s">
        <v>2252</v>
      </c>
      <c r="B67" s="919">
        <f>'Sources and Uses Budget'!C69</f>
        <v>173404</v>
      </c>
      <c r="C67" s="919">
        <f>SUM(C61:C66)</f>
        <v>0</v>
      </c>
      <c r="D67" s="919">
        <f>SUM(D61:D66)</f>
        <v>0</v>
      </c>
      <c r="E67" s="919">
        <f>'Sources and Uses Budget'!S69</f>
        <v>145517</v>
      </c>
      <c r="F67" s="922">
        <f>SUM(F62:F66)</f>
        <v>0</v>
      </c>
      <c r="G67" s="922">
        <f>SUM(G62:G66)</f>
        <v>0</v>
      </c>
      <c r="H67" s="919">
        <f>'Sources and Uses Budget'!T69</f>
        <v>0</v>
      </c>
      <c r="I67" s="922">
        <f>SUM(I62:I66)</f>
        <v>0</v>
      </c>
      <c r="J67" s="922">
        <f>SUM(J62:J66)</f>
        <v>0</v>
      </c>
      <c r="K67" s="914"/>
    </row>
    <row r="68" spans="1:11" s="383" customFormat="1" ht="11.4">
      <c r="A68" s="365" t="s">
        <v>313</v>
      </c>
      <c r="B68" s="918"/>
      <c r="C68" s="918"/>
      <c r="D68" s="918"/>
      <c r="E68" s="918"/>
      <c r="F68" s="918"/>
      <c r="G68" s="918"/>
      <c r="H68" s="918"/>
      <c r="I68" s="918"/>
      <c r="J68" s="918"/>
      <c r="K68" s="914"/>
    </row>
    <row r="69" spans="1:11" s="383" customFormat="1" ht="11.4">
      <c r="A69" s="369" t="s">
        <v>314</v>
      </c>
      <c r="B69" s="919">
        <f>'Sources and Uses Budget'!C71</f>
        <v>0</v>
      </c>
      <c r="C69" s="920"/>
      <c r="D69" s="920"/>
      <c r="E69" s="921"/>
      <c r="F69" s="921"/>
      <c r="G69" s="921"/>
      <c r="H69" s="921"/>
      <c r="I69" s="921"/>
      <c r="J69" s="921"/>
      <c r="K69" s="914"/>
    </row>
    <row r="70" spans="1:11" s="383" customFormat="1" ht="11.4">
      <c r="A70" s="369" t="s">
        <v>315</v>
      </c>
      <c r="B70" s="919">
        <f>'Sources and Uses Budget'!C72</f>
        <v>0</v>
      </c>
      <c r="C70" s="920"/>
      <c r="D70" s="920"/>
      <c r="E70" s="921"/>
      <c r="F70" s="921"/>
      <c r="G70" s="921"/>
      <c r="H70" s="921"/>
      <c r="I70" s="921"/>
      <c r="J70" s="921"/>
      <c r="K70" s="914"/>
    </row>
    <row r="71" spans="1:11" s="383" customFormat="1" ht="11.4">
      <c r="A71" s="999" t="s">
        <v>1374</v>
      </c>
      <c r="B71" s="919">
        <f>'Sources and Uses Budget'!C73</f>
        <v>0</v>
      </c>
      <c r="C71" s="920"/>
      <c r="D71" s="920"/>
      <c r="E71" s="921"/>
      <c r="F71" s="921"/>
      <c r="G71" s="921"/>
      <c r="H71" s="921"/>
      <c r="I71" s="921"/>
      <c r="J71" s="921"/>
      <c r="K71" s="914"/>
    </row>
    <row r="72" spans="1:11" s="383" customFormat="1" ht="11.4">
      <c r="A72" s="369" t="s">
        <v>316</v>
      </c>
      <c r="B72" s="919">
        <f>'Sources and Uses Budget'!C74</f>
        <v>192090</v>
      </c>
      <c r="C72" s="920"/>
      <c r="D72" s="920"/>
      <c r="E72" s="921"/>
      <c r="F72" s="921"/>
      <c r="G72" s="921"/>
      <c r="H72" s="921"/>
      <c r="I72" s="921"/>
      <c r="J72" s="921"/>
      <c r="K72" s="914"/>
    </row>
    <row r="73" spans="1:11" s="383" customFormat="1" ht="11.4">
      <c r="A73" s="722" t="str">
        <f>'Sources and Uses Budget'!$A75</f>
        <v>Other: HCD Transition Reserve</v>
      </c>
      <c r="B73" s="919">
        <f>'Sources and Uses Budget'!C75</f>
        <v>196539</v>
      </c>
      <c r="C73" s="920"/>
      <c r="D73" s="920"/>
      <c r="E73" s="921"/>
      <c r="F73" s="921"/>
      <c r="G73" s="921"/>
      <c r="H73" s="921"/>
      <c r="I73" s="921"/>
      <c r="J73" s="921"/>
      <c r="K73" s="914"/>
    </row>
    <row r="74" spans="1:11" s="383" customFormat="1">
      <c r="A74" s="373" t="s">
        <v>317</v>
      </c>
      <c r="B74" s="919">
        <f>'Sources and Uses Budget'!C76</f>
        <v>388629</v>
      </c>
      <c r="C74" s="919">
        <f>SUM(C69:C73)</f>
        <v>0</v>
      </c>
      <c r="D74" s="919">
        <f>SUM(D69:D73)</f>
        <v>0</v>
      </c>
      <c r="E74" s="921"/>
      <c r="F74" s="921"/>
      <c r="G74" s="921"/>
      <c r="H74" s="921"/>
      <c r="I74" s="921"/>
      <c r="J74" s="921"/>
      <c r="K74" s="914"/>
    </row>
    <row r="75" spans="1:11" s="383" customFormat="1" ht="11.4">
      <c r="A75" s="365" t="s">
        <v>1973</v>
      </c>
      <c r="B75" s="918"/>
      <c r="C75" s="918"/>
      <c r="D75" s="918"/>
      <c r="E75" s="918"/>
      <c r="F75" s="918"/>
      <c r="G75" s="918"/>
      <c r="H75" s="918"/>
      <c r="I75" s="918"/>
      <c r="J75" s="918"/>
      <c r="K75" s="914"/>
    </row>
    <row r="76" spans="1:11" s="383" customFormat="1" ht="11.4">
      <c r="A76" s="369" t="s">
        <v>1974</v>
      </c>
      <c r="B76" s="919">
        <f>'Sources and Uses Budget'!C78</f>
        <v>859701</v>
      </c>
      <c r="C76" s="920"/>
      <c r="D76" s="920"/>
      <c r="E76" s="919">
        <f>'Sources and Uses Budget'!S78</f>
        <v>859701</v>
      </c>
      <c r="F76" s="920"/>
      <c r="G76" s="920"/>
      <c r="H76" s="919">
        <f>'Sources and Uses Budget'!T78</f>
        <v>0</v>
      </c>
      <c r="I76" s="920"/>
      <c r="J76" s="920"/>
      <c r="K76" s="914"/>
    </row>
    <row r="77" spans="1:11" s="1093" customFormat="1" ht="11.4">
      <c r="A77" s="369" t="s">
        <v>597</v>
      </c>
      <c r="B77" s="919">
        <f>'Sources and Uses Budget'!C79</f>
        <v>124759</v>
      </c>
      <c r="C77" s="920"/>
      <c r="D77" s="920"/>
      <c r="E77" s="919">
        <f>'Sources and Uses Budget'!S79</f>
        <v>124759</v>
      </c>
      <c r="F77" s="920"/>
      <c r="G77" s="920"/>
      <c r="H77" s="919">
        <f>'Sources and Uses Budget'!T79</f>
        <v>0</v>
      </c>
      <c r="I77" s="920"/>
      <c r="J77" s="920"/>
      <c r="K77" s="914"/>
    </row>
    <row r="78" spans="1:11" s="383" customFormat="1">
      <c r="A78" s="373" t="s">
        <v>1972</v>
      </c>
      <c r="B78" s="919">
        <f>'Sources and Uses Budget'!C80</f>
        <v>984460</v>
      </c>
      <c r="C78" s="1126">
        <f>SUM(C76:C77)</f>
        <v>0</v>
      </c>
      <c r="D78" s="1126">
        <f>SUM(D76:D77)</f>
        <v>0</v>
      </c>
      <c r="E78" s="919">
        <f>'Sources and Uses Budget'!S80</f>
        <v>984460</v>
      </c>
      <c r="F78" s="1126">
        <f>SUM(F76:F77)</f>
        <v>0</v>
      </c>
      <c r="G78" s="1126">
        <f>SUM(G76:G77)</f>
        <v>0</v>
      </c>
      <c r="H78" s="919">
        <f>'Sources and Uses Budget'!T80</f>
        <v>0</v>
      </c>
      <c r="I78" s="1126">
        <f>SUM(I76:I77)</f>
        <v>0</v>
      </c>
      <c r="J78" s="1126">
        <f>SUM(J76:J77)</f>
        <v>0</v>
      </c>
      <c r="K78" s="914"/>
    </row>
    <row r="79" spans="1:11" s="383" customFormat="1" ht="11.4">
      <c r="A79" s="365" t="s">
        <v>573</v>
      </c>
      <c r="B79" s="918"/>
      <c r="C79" s="918"/>
      <c r="D79" s="918"/>
      <c r="E79" s="918"/>
      <c r="F79" s="918"/>
      <c r="G79" s="918"/>
      <c r="H79" s="918"/>
      <c r="I79" s="918"/>
      <c r="J79" s="918"/>
      <c r="K79" s="914"/>
    </row>
    <row r="80" spans="1:11" s="383" customFormat="1" ht="14.1" customHeight="1">
      <c r="A80" s="369" t="s">
        <v>574</v>
      </c>
      <c r="B80" s="919">
        <f>'Sources and Uses Budget'!C82</f>
        <v>96365</v>
      </c>
      <c r="C80" s="920"/>
      <c r="D80" s="920"/>
      <c r="E80" s="921"/>
      <c r="F80" s="921"/>
      <c r="G80" s="921"/>
      <c r="H80" s="921"/>
      <c r="I80" s="921"/>
      <c r="J80" s="921"/>
      <c r="K80" s="914"/>
    </row>
    <row r="81" spans="1:11" s="383" customFormat="1" ht="11.4">
      <c r="A81" s="369" t="s">
        <v>575</v>
      </c>
      <c r="B81" s="919">
        <f>'Sources and Uses Budget'!C83</f>
        <v>15000</v>
      </c>
      <c r="C81" s="920"/>
      <c r="D81" s="920"/>
      <c r="E81" s="919">
        <f>'Sources and Uses Budget'!S83</f>
        <v>15000</v>
      </c>
      <c r="F81" s="920"/>
      <c r="G81" s="920"/>
      <c r="H81" s="919">
        <f>'Sources and Uses Budget'!T83</f>
        <v>0</v>
      </c>
      <c r="I81" s="920"/>
      <c r="J81" s="920"/>
      <c r="K81" s="914"/>
    </row>
    <row r="82" spans="1:11" s="383" customFormat="1" ht="11.4">
      <c r="A82" s="369" t="s">
        <v>576</v>
      </c>
      <c r="B82" s="919">
        <f>'Sources and Uses Budget'!C84</f>
        <v>411125</v>
      </c>
      <c r="C82" s="920"/>
      <c r="D82" s="920"/>
      <c r="E82" s="919">
        <f>'Sources and Uses Budget'!S84</f>
        <v>411125</v>
      </c>
      <c r="F82" s="920"/>
      <c r="G82" s="920"/>
      <c r="H82" s="919">
        <f>'Sources and Uses Budget'!T84</f>
        <v>0</v>
      </c>
      <c r="I82" s="920"/>
      <c r="J82" s="920"/>
      <c r="K82" s="914"/>
    </row>
    <row r="83" spans="1:11" s="383" customFormat="1" ht="11.4">
      <c r="A83" s="369" t="s">
        <v>577</v>
      </c>
      <c r="B83" s="919">
        <f>'Sources and Uses Budget'!C85</f>
        <v>79018</v>
      </c>
      <c r="C83" s="920"/>
      <c r="D83" s="920"/>
      <c r="E83" s="919">
        <f>'Sources and Uses Budget'!S85</f>
        <v>79018</v>
      </c>
      <c r="F83" s="920"/>
      <c r="G83" s="920"/>
      <c r="H83" s="919">
        <f>'Sources and Uses Budget'!T85</f>
        <v>0</v>
      </c>
      <c r="I83" s="920"/>
      <c r="J83" s="920"/>
      <c r="K83" s="914"/>
    </row>
    <row r="84" spans="1:11" s="383" customFormat="1" ht="11.4">
      <c r="A84" s="369" t="s">
        <v>578</v>
      </c>
      <c r="B84" s="919">
        <f>'Sources and Uses Budget'!C86</f>
        <v>0</v>
      </c>
      <c r="C84" s="920"/>
      <c r="D84" s="920"/>
      <c r="E84" s="919">
        <f>'Sources and Uses Budget'!S86</f>
        <v>0</v>
      </c>
      <c r="F84" s="920"/>
      <c r="G84" s="920"/>
      <c r="H84" s="919">
        <f>'Sources and Uses Budget'!T86</f>
        <v>0</v>
      </c>
      <c r="I84" s="920"/>
      <c r="J84" s="920"/>
      <c r="K84" s="914"/>
    </row>
    <row r="85" spans="1:11" s="383" customFormat="1" ht="11.4">
      <c r="A85" s="369" t="s">
        <v>579</v>
      </c>
      <c r="B85" s="919">
        <f>'Sources and Uses Budget'!C87</f>
        <v>50000</v>
      </c>
      <c r="C85" s="920"/>
      <c r="D85" s="920"/>
      <c r="E85" s="921"/>
      <c r="F85" s="921"/>
      <c r="G85" s="921"/>
      <c r="H85" s="921"/>
      <c r="I85" s="921"/>
      <c r="J85" s="921"/>
      <c r="K85" s="914"/>
    </row>
    <row r="86" spans="1:11" s="383" customFormat="1" ht="11.4">
      <c r="A86" s="369" t="s">
        <v>580</v>
      </c>
      <c r="B86" s="919">
        <f>'Sources and Uses Budget'!C88</f>
        <v>75000</v>
      </c>
      <c r="C86" s="920"/>
      <c r="D86" s="920"/>
      <c r="E86" s="919">
        <f>'Sources and Uses Budget'!S88</f>
        <v>75000</v>
      </c>
      <c r="F86" s="920"/>
      <c r="G86" s="920"/>
      <c r="H86" s="919">
        <f>'Sources and Uses Budget'!T88</f>
        <v>0</v>
      </c>
      <c r="I86" s="920"/>
      <c r="J86" s="920"/>
      <c r="K86" s="914"/>
    </row>
    <row r="87" spans="1:11" s="383" customFormat="1" ht="11.4">
      <c r="A87" s="369" t="s">
        <v>581</v>
      </c>
      <c r="B87" s="919">
        <f>'Sources and Uses Budget'!C89</f>
        <v>9000</v>
      </c>
      <c r="C87" s="920"/>
      <c r="D87" s="920"/>
      <c r="E87" s="919">
        <f>'Sources and Uses Budget'!S89</f>
        <v>0</v>
      </c>
      <c r="F87" s="920"/>
      <c r="G87" s="920"/>
      <c r="H87" s="919">
        <f>'Sources and Uses Budget'!T89</f>
        <v>0</v>
      </c>
      <c r="I87" s="920"/>
      <c r="J87" s="920"/>
      <c r="K87" s="914"/>
    </row>
    <row r="88" spans="1:11" s="383" customFormat="1" ht="11.4">
      <c r="A88" s="722" t="s">
        <v>1456</v>
      </c>
      <c r="B88" s="919">
        <f>'Sources and Uses Budget'!C90</f>
        <v>25000</v>
      </c>
      <c r="C88" s="920"/>
      <c r="D88" s="920"/>
      <c r="E88" s="919">
        <f>'Sources and Uses Budget'!S90</f>
        <v>25000</v>
      </c>
      <c r="F88" s="920"/>
      <c r="G88" s="920"/>
      <c r="H88" s="919">
        <f>'Sources and Uses Budget'!T90</f>
        <v>0</v>
      </c>
      <c r="I88" s="920"/>
      <c r="J88" s="920"/>
      <c r="K88" s="914"/>
    </row>
    <row r="89" spans="1:11" s="383" customFormat="1" ht="11.4">
      <c r="A89" s="722" t="s">
        <v>1970</v>
      </c>
      <c r="B89" s="919">
        <f>'Sources and Uses Budget'!C91</f>
        <v>14500</v>
      </c>
      <c r="C89" s="920"/>
      <c r="D89" s="920"/>
      <c r="E89" s="919">
        <f>'Sources and Uses Budget'!S91</f>
        <v>14500</v>
      </c>
      <c r="F89" s="920"/>
      <c r="G89" s="920"/>
      <c r="H89" s="919">
        <f>'Sources and Uses Budget'!T91</f>
        <v>0</v>
      </c>
      <c r="I89" s="920"/>
      <c r="J89" s="920"/>
      <c r="K89" s="914"/>
    </row>
    <row r="90" spans="1:11" s="383" customFormat="1" ht="11.4">
      <c r="A90" s="722" t="str">
        <f>'Sources and Uses Budget'!$A92</f>
        <v>Other: Acq Title/Recording</v>
      </c>
      <c r="B90" s="919">
        <f>'Sources and Uses Budget'!C92</f>
        <v>14816</v>
      </c>
      <c r="C90" s="920"/>
      <c r="D90" s="920"/>
      <c r="E90" s="919">
        <f>'Sources and Uses Budget'!S92</f>
        <v>0</v>
      </c>
      <c r="F90" s="920"/>
      <c r="G90" s="920"/>
      <c r="H90" s="919">
        <f>'Sources and Uses Budget'!T92</f>
        <v>0</v>
      </c>
      <c r="I90" s="920"/>
      <c r="J90" s="920"/>
      <c r="K90" s="914"/>
    </row>
    <row r="91" spans="1:11" s="383" customFormat="1" ht="11.4">
      <c r="A91" s="722" t="str">
        <f>'Sources and Uses Budget'!$A93</f>
        <v>Other: Testing/Inspection</v>
      </c>
      <c r="B91" s="919">
        <f>'Sources and Uses Budget'!C93</f>
        <v>50000</v>
      </c>
      <c r="C91" s="920"/>
      <c r="D91" s="920"/>
      <c r="E91" s="919">
        <f>'Sources and Uses Budget'!S93</f>
        <v>50000</v>
      </c>
      <c r="F91" s="920"/>
      <c r="G91" s="920"/>
      <c r="H91" s="919">
        <f>'Sources and Uses Budget'!T93</f>
        <v>0</v>
      </c>
      <c r="I91" s="920"/>
      <c r="J91" s="920"/>
      <c r="K91" s="914"/>
    </row>
    <row r="92" spans="1:11" s="383" customFormat="1" ht="11.4">
      <c r="A92" s="722" t="str">
        <f>'Sources and Uses Budget'!$A94</f>
        <v>Other: (Specify)</v>
      </c>
      <c r="B92" s="919">
        <f>'Sources and Uses Budget'!C94</f>
        <v>0</v>
      </c>
      <c r="C92" s="920"/>
      <c r="D92" s="920"/>
      <c r="E92" s="919">
        <f>'Sources and Uses Budget'!S94</f>
        <v>0</v>
      </c>
      <c r="F92" s="920"/>
      <c r="G92" s="920"/>
      <c r="H92" s="919">
        <f>'Sources and Uses Budget'!T94</f>
        <v>0</v>
      </c>
      <c r="I92" s="920"/>
      <c r="J92" s="920"/>
      <c r="K92" s="914"/>
    </row>
    <row r="93" spans="1:11" s="383" customFormat="1">
      <c r="A93" s="373" t="s">
        <v>582</v>
      </c>
      <c r="B93" s="919">
        <f>'Sources and Uses Budget'!C95</f>
        <v>839824</v>
      </c>
      <c r="C93" s="919">
        <f>SUM(C80:C92)</f>
        <v>0</v>
      </c>
      <c r="D93" s="919">
        <f>SUM(D80:D92)</f>
        <v>0</v>
      </c>
      <c r="E93" s="919">
        <f>'Sources and Uses Budget'!S95</f>
        <v>669643</v>
      </c>
      <c r="F93" s="922">
        <f>SUM(F81:F84,F86:F92)</f>
        <v>0</v>
      </c>
      <c r="G93" s="922">
        <f>SUM(G81:G84,G86:G92)</f>
        <v>0</v>
      </c>
      <c r="H93" s="919">
        <f>'Sources and Uses Budget'!T95</f>
        <v>0</v>
      </c>
      <c r="I93" s="919">
        <f>SUM(I81:I84,I86:I92)</f>
        <v>0</v>
      </c>
      <c r="J93" s="919">
        <f>SUM(J81:J84,J86:J92)</f>
        <v>0</v>
      </c>
      <c r="K93" s="914"/>
    </row>
    <row r="94" spans="1:11" s="383" customFormat="1">
      <c r="A94" s="373" t="s">
        <v>1510</v>
      </c>
      <c r="B94" s="919">
        <f>'Sources and Uses Budget'!C96</f>
        <v>21174485</v>
      </c>
      <c r="C94" s="919">
        <f>SUM(C60+C67+C74+C78+C93)</f>
        <v>0</v>
      </c>
      <c r="D94" s="919">
        <f>SUM(D60+D67+D74+D78+D93)</f>
        <v>0</v>
      </c>
      <c r="E94" s="919">
        <f>'Sources and Uses Budget'!S96</f>
        <v>19307999</v>
      </c>
      <c r="F94" s="922">
        <f>SUM(+F60+F67+F78+F93)</f>
        <v>0</v>
      </c>
      <c r="G94" s="922">
        <f>SUM(+G60+G67+G78+G93)</f>
        <v>0</v>
      </c>
      <c r="H94" s="919">
        <f>'Sources and Uses Budget'!T96</f>
        <v>0</v>
      </c>
      <c r="I94" s="922">
        <f>SUM(I60+I67+I78+I93)</f>
        <v>0</v>
      </c>
      <c r="J94" s="922">
        <f>SUM(J60+J67+J78+J93)</f>
        <v>0</v>
      </c>
      <c r="K94" s="914"/>
    </row>
    <row r="95" spans="1:11" s="383" customFormat="1" ht="11.4">
      <c r="A95" s="365" t="s">
        <v>584</v>
      </c>
      <c r="B95" s="918"/>
      <c r="C95" s="918"/>
      <c r="D95" s="918"/>
      <c r="E95" s="918"/>
      <c r="F95" s="918"/>
      <c r="G95" s="918"/>
      <c r="H95" s="918"/>
      <c r="I95" s="918"/>
      <c r="J95" s="918"/>
      <c r="K95" s="914"/>
    </row>
    <row r="96" spans="1:11" s="383" customFormat="1" ht="11.4">
      <c r="A96" s="369" t="s">
        <v>585</v>
      </c>
      <c r="B96" s="919">
        <f>'Sources and Uses Budget'!C98</f>
        <v>2172996</v>
      </c>
      <c r="C96" s="920"/>
      <c r="D96" s="920"/>
      <c r="E96" s="919">
        <f>'Sources and Uses Budget'!S98</f>
        <v>2172996</v>
      </c>
      <c r="F96" s="920"/>
      <c r="G96" s="920"/>
      <c r="H96" s="919">
        <f>'Sources and Uses Budget'!T98</f>
        <v>0</v>
      </c>
      <c r="I96" s="920"/>
      <c r="J96" s="920"/>
      <c r="K96" s="914"/>
    </row>
    <row r="97" spans="1:11" s="383" customFormat="1" ht="11.4">
      <c r="A97" s="369" t="s">
        <v>2253</v>
      </c>
      <c r="B97" s="919">
        <f>'Sources and Uses Budget'!C99</f>
        <v>0</v>
      </c>
      <c r="C97" s="920"/>
      <c r="D97" s="920"/>
      <c r="E97" s="919">
        <f>'Sources and Uses Budget'!S99</f>
        <v>0</v>
      </c>
      <c r="F97" s="920"/>
      <c r="G97" s="920"/>
      <c r="H97" s="919">
        <f>'Sources and Uses Budget'!T99</f>
        <v>0</v>
      </c>
      <c r="I97" s="920"/>
      <c r="J97" s="920"/>
      <c r="K97" s="914"/>
    </row>
    <row r="98" spans="1:11" s="383" customFormat="1" ht="12" customHeight="1">
      <c r="A98" s="369" t="s">
        <v>586</v>
      </c>
      <c r="B98" s="919">
        <f>'Sources and Uses Budget'!C100</f>
        <v>0</v>
      </c>
      <c r="C98" s="920"/>
      <c r="D98" s="920"/>
      <c r="E98" s="919">
        <f>'Sources and Uses Budget'!S100</f>
        <v>0</v>
      </c>
      <c r="F98" s="920"/>
      <c r="G98" s="920"/>
      <c r="H98" s="919">
        <f>'Sources and Uses Budget'!T100</f>
        <v>0</v>
      </c>
      <c r="I98" s="920"/>
      <c r="J98" s="920"/>
      <c r="K98" s="914"/>
    </row>
    <row r="99" spans="1:11" s="383" customFormat="1" ht="11.4">
      <c r="A99" s="369" t="s">
        <v>1375</v>
      </c>
      <c r="B99" s="919">
        <f>'Sources and Uses Budget'!C101</f>
        <v>0</v>
      </c>
      <c r="C99" s="920"/>
      <c r="D99" s="920"/>
      <c r="E99" s="919">
        <f>'Sources and Uses Budget'!S101</f>
        <v>0</v>
      </c>
      <c r="F99" s="920"/>
      <c r="G99" s="920"/>
      <c r="H99" s="919">
        <f>'Sources and Uses Budget'!T101</f>
        <v>0</v>
      </c>
      <c r="I99" s="920"/>
      <c r="J99" s="920"/>
      <c r="K99" s="914"/>
    </row>
    <row r="100" spans="1:11" s="383" customFormat="1" ht="11.4">
      <c r="A100" s="722" t="str">
        <f>'Sources and Uses Budget'!$A102</f>
        <v>Other: (Specify)</v>
      </c>
      <c r="B100" s="919">
        <f>'Sources and Uses Budget'!C102</f>
        <v>0</v>
      </c>
      <c r="C100" s="920"/>
      <c r="D100" s="920"/>
      <c r="E100" s="919">
        <f>'Sources and Uses Budget'!S102</f>
        <v>0</v>
      </c>
      <c r="F100" s="920"/>
      <c r="G100" s="920"/>
      <c r="H100" s="919">
        <f>'Sources and Uses Budget'!T102</f>
        <v>0</v>
      </c>
      <c r="I100" s="920"/>
      <c r="J100" s="920"/>
      <c r="K100" s="914"/>
    </row>
    <row r="101" spans="1:11" s="383" customFormat="1">
      <c r="A101" s="373" t="s">
        <v>587</v>
      </c>
      <c r="B101" s="919">
        <f>'Sources and Uses Budget'!C103</f>
        <v>2172996</v>
      </c>
      <c r="C101" s="919">
        <f>SUM(C96:C100)</f>
        <v>0</v>
      </c>
      <c r="D101" s="919">
        <f>SUM(D96:D100)</f>
        <v>0</v>
      </c>
      <c r="E101" s="919">
        <f>'Sources and Uses Budget'!S103</f>
        <v>2172996</v>
      </c>
      <c r="F101" s="922">
        <f>SUM(F96:F100)</f>
        <v>0</v>
      </c>
      <c r="G101" s="922">
        <f>SUM(G96:G100)</f>
        <v>0</v>
      </c>
      <c r="H101" s="919">
        <f>'Sources and Uses Budget'!T103</f>
        <v>0</v>
      </c>
      <c r="I101" s="922">
        <f>SUM(I96:I100)</f>
        <v>0</v>
      </c>
      <c r="J101" s="922">
        <f>SUM(J96:J100)</f>
        <v>0</v>
      </c>
      <c r="K101" s="914"/>
    </row>
    <row r="102" spans="1:11" s="383" customFormat="1">
      <c r="A102" s="373" t="s">
        <v>1511</v>
      </c>
      <c r="B102" s="919">
        <f>'Sources and Uses Budget'!C104</f>
        <v>23347481</v>
      </c>
      <c r="C102" s="922">
        <f>SUM(C94+C101)</f>
        <v>0</v>
      </c>
      <c r="D102" s="922">
        <f>SUM(D94+D101)</f>
        <v>0</v>
      </c>
      <c r="E102" s="919">
        <f>'Sources and Uses Budget'!S104</f>
        <v>21480995</v>
      </c>
      <c r="F102" s="922">
        <f>F94+F101</f>
        <v>0</v>
      </c>
      <c r="G102" s="922">
        <f>G94+G101</f>
        <v>0</v>
      </c>
      <c r="H102" s="919">
        <f>'Sources and Uses Budget'!T104</f>
        <v>0</v>
      </c>
      <c r="I102" s="922">
        <f>I94+I101</f>
        <v>0</v>
      </c>
      <c r="J102" s="922">
        <f>J94+J101</f>
        <v>0</v>
      </c>
      <c r="K102" s="914"/>
    </row>
    <row r="103" spans="1:11" s="383" customFormat="1">
      <c r="A103" s="381"/>
      <c r="B103" s="923"/>
      <c r="C103" s="923"/>
      <c r="D103" s="923"/>
      <c r="E103" s="919">
        <f>'Sources and Uses Budget'!S105</f>
        <v>0</v>
      </c>
      <c r="F103" s="920"/>
      <c r="G103" s="920"/>
      <c r="H103" s="919">
        <f>'Sources and Uses Budget'!T105</f>
        <v>0</v>
      </c>
      <c r="I103" s="920"/>
      <c r="J103" s="920"/>
      <c r="K103" s="914"/>
    </row>
    <row r="104" spans="1:11" s="383" customFormat="1">
      <c r="A104" s="892"/>
      <c r="B104" s="924"/>
      <c r="C104" s="923"/>
      <c r="D104" s="923"/>
      <c r="E104" s="919">
        <f>'Sources and Uses Budget'!S106</f>
        <v>21480995</v>
      </c>
      <c r="F104" s="925">
        <f>F102+F103</f>
        <v>0</v>
      </c>
      <c r="G104" s="925">
        <f>G102+G103</f>
        <v>0</v>
      </c>
      <c r="H104" s="919">
        <f>'Sources and Uses Budget'!T106</f>
        <v>0</v>
      </c>
      <c r="I104" s="925">
        <f>I102+I103</f>
        <v>0</v>
      </c>
      <c r="J104" s="925">
        <f>J102+J103</f>
        <v>0</v>
      </c>
      <c r="K104" s="914"/>
    </row>
    <row r="105" spans="1:11" s="383" customFormat="1" hidden="1">
      <c r="A105" s="892"/>
      <c r="B105" s="382"/>
      <c r="C105" s="382"/>
      <c r="D105" s="382"/>
      <c r="J105" s="917"/>
      <c r="K105" s="914"/>
    </row>
    <row r="65515"/>
    <row r="65516"/>
    <row r="65517"/>
    <row r="65518"/>
    <row r="65519"/>
  </sheetData>
  <sheetProtection algorithmName="SHA-512" hashValue="W3B7uDzLsWv0TXi6N9xyl5+pGI6YHmKtz96zAWMhoOG6pqS/xqEJQA0XsX1DdzVD4WnOgiQIvdqkF1q21Iid2A==" saltValue="fRL9crEKV7JlgX6JjmAZNA==" spinCount="100000" sheet="1" objects="1" scenarios="1"/>
  <mergeCells count="1">
    <mergeCell ref="A1:J1"/>
  </mergeCells>
  <conditionalFormatting sqref="B3:B102">
    <cfRule type="cellIs" dxfId="10" priority="6" stopIfTrue="1" operator="notEqual">
      <formula>$C3+$D3</formula>
    </cfRule>
  </conditionalFormatting>
  <conditionalFormatting sqref="E3:E14 E16:E104">
    <cfRule type="cellIs" dxfId="9" priority="5" stopIfTrue="1" operator="notEqual">
      <formula>$F3+$G3</formula>
    </cfRule>
  </conditionalFormatting>
  <conditionalFormatting sqref="H3:H14 H16:H104">
    <cfRule type="cellIs" dxfId="8" priority="4" stopIfTrue="1" operator="notEqual">
      <formula>$I3+$J3</formula>
    </cfRule>
  </conditionalFormatting>
  <conditionalFormatting sqref="E15">
    <cfRule type="cellIs" dxfId="7" priority="3" stopIfTrue="1" operator="notEqual">
      <formula>$F15+$G15</formula>
    </cfRule>
  </conditionalFormatting>
  <conditionalFormatting sqref="H15">
    <cfRule type="cellIs" dxfId="6" priority="2" stopIfTrue="1" operator="notEqual">
      <formula>$I15+$J15</formula>
    </cfRule>
  </conditionalFormatting>
  <printOptions horizontalCentered="1"/>
  <pageMargins left="0.25" right="0.25" top="0.5" bottom="0.5" header="0.25" footer="0.25"/>
  <pageSetup paperSize="5" scale="66" firstPageNumber="22" fitToHeight="2" orientation="portrait" useFirstPageNumber="1"/>
  <headerFooter alignWithMargins="0">
    <oddFooter xml:space="preserve">&amp;C&amp;P&amp;R&amp;8&amp;A </oddFooter>
  </headerFooter>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AR81"/>
  <sheetViews>
    <sheetView showGridLines="0" showZeros="0" showWhiteSpace="0" topLeftCell="A22" zoomScale="120" zoomScaleNormal="120" zoomScaleSheetLayoutView="100" zoomScalePageLayoutView="120" workbookViewId="0">
      <selection activeCell="AB49" sqref="AB49:AF49"/>
    </sheetView>
  </sheetViews>
  <sheetFormatPr defaultColWidth="2.44140625" defaultRowHeight="0" customHeight="1" zeroHeight="1"/>
  <cols>
    <col min="1" max="1" width="1.44140625" customWidth="1"/>
    <col min="2" max="2" width="0.88671875" customWidth="1"/>
    <col min="3" max="18" width="2.44140625" customWidth="1"/>
    <col min="19" max="19" width="4" customWidth="1"/>
    <col min="20" max="24" width="2.6640625" customWidth="1"/>
    <col min="25" max="28" width="2.44140625" customWidth="1"/>
    <col min="29" max="29" width="3.44140625" customWidth="1"/>
    <col min="30" max="34" width="2.6640625" customWidth="1"/>
    <col min="35" max="39" width="2.44140625" customWidth="1"/>
    <col min="40" max="40" width="1.44140625" customWidth="1"/>
    <col min="41" max="43" width="2.44140625" style="2" customWidth="1"/>
    <col min="44" max="44" width="12.33203125" style="2" customWidth="1"/>
    <col min="45" max="16384" width="2.44140625" style="2"/>
  </cols>
  <sheetData>
    <row r="1" spans="1:40" ht="12.75" customHeight="1">
      <c r="A1" s="2262" t="s">
        <v>1976</v>
      </c>
      <c r="B1" s="2263"/>
      <c r="C1" s="2263"/>
      <c r="D1" s="2263"/>
      <c r="E1" s="2263"/>
      <c r="F1" s="2263"/>
      <c r="G1" s="2263"/>
      <c r="H1" s="2263"/>
      <c r="I1" s="2263"/>
      <c r="J1" s="2263"/>
      <c r="K1" s="2263"/>
      <c r="L1" s="2263"/>
      <c r="M1" s="2263"/>
      <c r="N1" s="2263"/>
      <c r="O1" s="2263"/>
      <c r="P1" s="2263"/>
      <c r="Q1" s="2263"/>
      <c r="R1" s="2263"/>
      <c r="S1" s="2263"/>
      <c r="T1" s="2263"/>
      <c r="U1" s="2263"/>
      <c r="V1" s="2263"/>
      <c r="W1" s="2263"/>
      <c r="X1" s="2263"/>
      <c r="Y1" s="2263"/>
      <c r="Z1" s="2263"/>
      <c r="AA1" s="2263"/>
      <c r="AB1" s="2263"/>
      <c r="AC1" s="2263"/>
      <c r="AD1" s="2263"/>
      <c r="AE1" s="2263"/>
      <c r="AF1" s="2263"/>
      <c r="AG1" s="2263"/>
      <c r="AH1" s="2263"/>
      <c r="AI1" s="2263"/>
      <c r="AJ1" s="2263"/>
      <c r="AK1" s="2263"/>
      <c r="AL1" s="2263"/>
      <c r="AM1" s="2263"/>
      <c r="AN1" s="2263"/>
    </row>
    <row r="2" spans="1:40" ht="13.8" thickBot="1">
      <c r="A2" s="2264"/>
      <c r="B2" s="2264"/>
      <c r="C2" s="2264"/>
      <c r="D2" s="2264"/>
      <c r="E2" s="2264"/>
      <c r="F2" s="2264"/>
      <c r="G2" s="2264"/>
      <c r="H2" s="2264"/>
      <c r="I2" s="2264"/>
      <c r="J2" s="2264"/>
      <c r="K2" s="2264"/>
      <c r="L2" s="2264"/>
      <c r="M2" s="2264"/>
      <c r="N2" s="2264"/>
      <c r="O2" s="2264"/>
      <c r="P2" s="2264"/>
      <c r="Q2" s="2264"/>
      <c r="R2" s="2264"/>
      <c r="S2" s="2264"/>
      <c r="T2" s="2264"/>
      <c r="U2" s="2264"/>
      <c r="V2" s="2264"/>
      <c r="W2" s="2264"/>
      <c r="X2" s="2264"/>
      <c r="Y2" s="2264"/>
      <c r="Z2" s="2264"/>
      <c r="AA2" s="2264"/>
      <c r="AB2" s="2264"/>
      <c r="AC2" s="2264"/>
      <c r="AD2" s="2264"/>
      <c r="AE2" s="2264"/>
      <c r="AF2" s="2264"/>
      <c r="AG2" s="2264"/>
      <c r="AH2" s="2264"/>
      <c r="AI2" s="2264"/>
      <c r="AJ2" s="2264"/>
      <c r="AK2" s="2264"/>
      <c r="AL2" s="2264"/>
      <c r="AM2" s="2264"/>
      <c r="AN2" s="2264"/>
    </row>
    <row r="3" spans="1:40" ht="13.8" thickTop="1">
      <c r="A3" s="6"/>
      <c r="B3" s="35"/>
      <c r="C3" s="292"/>
      <c r="D3" s="292"/>
      <c r="E3" s="292"/>
      <c r="F3" s="292"/>
      <c r="G3" s="292"/>
      <c r="H3" s="292"/>
      <c r="I3" s="292"/>
      <c r="J3" s="32"/>
      <c r="K3" s="32"/>
      <c r="L3" s="32"/>
      <c r="M3" s="32"/>
      <c r="N3" s="32"/>
      <c r="O3" s="32"/>
      <c r="P3" s="32"/>
      <c r="Q3" s="32"/>
      <c r="R3" s="32"/>
      <c r="S3" s="32"/>
      <c r="T3" s="32"/>
      <c r="U3" s="32"/>
      <c r="V3" s="32"/>
      <c r="W3" s="32"/>
      <c r="X3" s="32"/>
      <c r="Y3" s="32"/>
      <c r="Z3" s="32"/>
      <c r="AA3" s="32"/>
      <c r="AB3" s="32"/>
      <c r="AC3" s="32"/>
      <c r="AD3" s="32"/>
      <c r="AE3" s="32"/>
      <c r="AF3" s="32"/>
      <c r="AG3" s="32"/>
      <c r="AH3" s="32"/>
      <c r="AI3" s="32"/>
      <c r="AJ3" s="32"/>
      <c r="AK3" s="32"/>
      <c r="AL3" s="32"/>
      <c r="AM3" s="32"/>
      <c r="AN3" s="32"/>
    </row>
    <row r="4" spans="1:40" ht="13.2"/>
    <row r="5" spans="1:40" ht="13.2">
      <c r="A5" s="6" t="s">
        <v>719</v>
      </c>
      <c r="C5" s="6" t="s">
        <v>229</v>
      </c>
      <c r="F5" s="6"/>
    </row>
    <row r="6" spans="1:40" ht="13.2">
      <c r="B6" s="1127" t="s">
        <v>2075</v>
      </c>
      <c r="AA6" s="2"/>
    </row>
    <row r="7" spans="1:40" ht="13.65" customHeight="1">
      <c r="B7" s="9"/>
      <c r="C7" s="10"/>
      <c r="D7" s="10"/>
      <c r="E7" s="10"/>
      <c r="F7" s="10"/>
      <c r="G7" s="10"/>
      <c r="H7" s="10"/>
      <c r="I7" s="10"/>
      <c r="J7" s="10"/>
      <c r="K7" s="10"/>
      <c r="L7" s="10"/>
      <c r="M7" s="10"/>
      <c r="N7" s="10"/>
      <c r="O7" s="10"/>
      <c r="P7" s="10"/>
      <c r="Q7" s="10"/>
      <c r="R7" s="10"/>
      <c r="S7" s="10"/>
      <c r="T7" s="2245" t="str">
        <f>IF(T25=100%,'Sources and Basis Breakdown'!G2,'Sources and Basis Breakdown'!F2)</f>
        <v>70% PVC for New Const/
Rehabilitation
DDA/QCT
Building(s)</v>
      </c>
      <c r="U7" s="2245"/>
      <c r="V7" s="2245"/>
      <c r="W7" s="2245"/>
      <c r="X7" s="2245"/>
      <c r="Y7" s="2245" t="str">
        <f>IF(T25=100%," ",'Sources and Basis Breakdown'!G2)</f>
        <v>70% PVC for New Const/
Rehabilitation
NON-DDA/
NON-QCT Building(s)</v>
      </c>
      <c r="Z7" s="2245"/>
      <c r="AA7" s="2245"/>
      <c r="AB7" s="2245"/>
      <c r="AC7" s="2245"/>
      <c r="AD7" s="2245" t="str">
        <f>IF(T25=100%,'Sources and Basis Breakdown'!J2,'Sources and Basis Breakdown'!I2)</f>
        <v>30% PVC for Acquisition
DDA/QCT Building(s)</v>
      </c>
      <c r="AE7" s="2245"/>
      <c r="AF7" s="2245"/>
      <c r="AG7" s="2245"/>
      <c r="AH7" s="2245"/>
      <c r="AI7" s="2245" t="str">
        <f>IF(T25=100%," ",'Sources and Basis Breakdown'!J2)</f>
        <v>30% PVC for Acquisition
NON-DDA/
NON-QCT Building(s)</v>
      </c>
      <c r="AJ7" s="2245"/>
      <c r="AK7" s="2245"/>
      <c r="AL7" s="2245"/>
      <c r="AM7" s="2245"/>
    </row>
    <row r="8" spans="1:40" ht="12.75" customHeight="1">
      <c r="B8" s="337"/>
      <c r="C8" s="1"/>
      <c r="D8" s="1"/>
      <c r="E8" s="1"/>
      <c r="F8" s="1"/>
      <c r="G8" s="1"/>
      <c r="H8" s="1"/>
      <c r="I8" s="1"/>
      <c r="J8" s="1"/>
      <c r="K8" s="1"/>
      <c r="L8" s="1"/>
      <c r="M8" s="1"/>
      <c r="N8" s="1"/>
      <c r="O8" s="1"/>
      <c r="P8" s="1"/>
      <c r="Q8" s="1"/>
      <c r="R8" s="1"/>
      <c r="S8" s="1"/>
      <c r="T8" s="2245"/>
      <c r="U8" s="2245"/>
      <c r="V8" s="2245"/>
      <c r="W8" s="2245"/>
      <c r="X8" s="2245"/>
      <c r="Y8" s="2245"/>
      <c r="Z8" s="2245"/>
      <c r="AA8" s="2245"/>
      <c r="AB8" s="2245"/>
      <c r="AC8" s="2245"/>
      <c r="AD8" s="2245"/>
      <c r="AE8" s="2245"/>
      <c r="AF8" s="2245"/>
      <c r="AG8" s="2245"/>
      <c r="AH8" s="2245"/>
      <c r="AI8" s="2245"/>
      <c r="AJ8" s="2245"/>
      <c r="AK8" s="2245"/>
      <c r="AL8" s="2245"/>
      <c r="AM8" s="2245"/>
    </row>
    <row r="9" spans="1:40" ht="13.2">
      <c r="B9" s="337"/>
      <c r="C9" s="1"/>
      <c r="D9" s="1"/>
      <c r="E9" s="1"/>
      <c r="F9" s="1"/>
      <c r="G9" s="1"/>
      <c r="H9" s="1"/>
      <c r="I9" s="1"/>
      <c r="J9" s="1"/>
      <c r="K9" s="1"/>
      <c r="L9" s="1"/>
      <c r="M9" s="1"/>
      <c r="N9" s="1"/>
      <c r="O9" s="1"/>
      <c r="P9" s="1"/>
      <c r="Q9" s="1"/>
      <c r="R9" s="1"/>
      <c r="S9" s="1"/>
      <c r="T9" s="2245"/>
      <c r="U9" s="2245"/>
      <c r="V9" s="2245"/>
      <c r="W9" s="2245"/>
      <c r="X9" s="2245"/>
      <c r="Y9" s="2245"/>
      <c r="Z9" s="2245"/>
      <c r="AA9" s="2245"/>
      <c r="AB9" s="2245"/>
      <c r="AC9" s="2245"/>
      <c r="AD9" s="2245"/>
      <c r="AE9" s="2245"/>
      <c r="AF9" s="2245"/>
      <c r="AG9" s="2245"/>
      <c r="AH9" s="2245"/>
      <c r="AI9" s="2245"/>
      <c r="AJ9" s="2245"/>
      <c r="AK9" s="2245"/>
      <c r="AL9" s="2245"/>
      <c r="AM9" s="2245"/>
    </row>
    <row r="10" spans="1:40" ht="41.4" customHeight="1">
      <c r="B10" s="277"/>
      <c r="C10" s="278"/>
      <c r="D10" s="278"/>
      <c r="E10" s="278"/>
      <c r="F10" s="278"/>
      <c r="G10" s="278"/>
      <c r="H10" s="278"/>
      <c r="I10" s="278"/>
      <c r="J10" s="278"/>
      <c r="K10" s="278"/>
      <c r="L10" s="278"/>
      <c r="M10" s="278"/>
      <c r="N10" s="278"/>
      <c r="O10" s="278"/>
      <c r="P10" s="278"/>
      <c r="Q10" s="278"/>
      <c r="R10" s="278"/>
      <c r="S10" s="278"/>
      <c r="T10" s="2245"/>
      <c r="U10" s="2245"/>
      <c r="V10" s="2245"/>
      <c r="W10" s="2245"/>
      <c r="X10" s="2245"/>
      <c r="Y10" s="2245"/>
      <c r="Z10" s="2245"/>
      <c r="AA10" s="2245"/>
      <c r="AB10" s="2245"/>
      <c r="AC10" s="2245"/>
      <c r="AD10" s="2245"/>
      <c r="AE10" s="2245"/>
      <c r="AF10" s="2245"/>
      <c r="AG10" s="2245"/>
      <c r="AH10" s="2245"/>
      <c r="AI10" s="2245"/>
      <c r="AJ10" s="2245"/>
      <c r="AK10" s="2245"/>
      <c r="AL10" s="2245"/>
      <c r="AM10" s="2245"/>
    </row>
    <row r="11" spans="1:40" ht="13.2">
      <c r="B11" s="2219" t="s">
        <v>566</v>
      </c>
      <c r="C11" s="2220"/>
      <c r="D11" s="2220"/>
      <c r="E11" s="2220"/>
      <c r="F11" s="2220"/>
      <c r="G11" s="2220"/>
      <c r="H11" s="2220"/>
      <c r="I11" s="2220"/>
      <c r="J11" s="2220"/>
      <c r="K11" s="2220"/>
      <c r="L11" s="2220"/>
      <c r="M11" s="2220"/>
      <c r="N11" s="2220"/>
      <c r="O11" s="2220"/>
      <c r="P11" s="2220"/>
      <c r="Q11" s="2220"/>
      <c r="R11" s="2220"/>
      <c r="S11" s="2221"/>
      <c r="T11" s="2256">
        <f>IF('Sources and Basis Breakdown'!F104=0,'Sources and Basis Breakdown'!E104,'Sources and Basis Breakdown'!F104)</f>
        <v>21480995</v>
      </c>
      <c r="U11" s="2246"/>
      <c r="V11" s="2246"/>
      <c r="W11" s="2246"/>
      <c r="X11" s="2246"/>
      <c r="Y11" s="2265">
        <f>IF(Y7=" ",0,IF('Sources and Basis Breakdown'!G104+'Sources and Basis Breakdown'!F104='Sources and Basis Breakdown'!E104,'Sources and Basis Breakdown'!G104,0))</f>
        <v>0</v>
      </c>
      <c r="Z11" s="2246"/>
      <c r="AA11" s="2246"/>
      <c r="AB11" s="2246"/>
      <c r="AC11" s="2246"/>
      <c r="AD11" s="2246">
        <f>IF('Sources and Basis Breakdown'!I104=0,'Sources and Basis Breakdown'!H104,'Sources and Basis Breakdown'!I104)</f>
        <v>0</v>
      </c>
      <c r="AE11" s="2246"/>
      <c r="AF11" s="2246"/>
      <c r="AG11" s="2246"/>
      <c r="AH11" s="2246"/>
      <c r="AI11" s="2246">
        <f>IF(AI7=" ",0,IF('Sources and Basis Breakdown'!I104+'Sources and Basis Breakdown'!J104='Sources and Basis Breakdown'!H104,'Sources and Basis Breakdown'!J104,0))</f>
        <v>0</v>
      </c>
      <c r="AJ11" s="2246"/>
      <c r="AK11" s="2246"/>
      <c r="AL11" s="2246"/>
      <c r="AM11" s="2246"/>
    </row>
    <row r="12" spans="1:40" ht="13.2">
      <c r="B12" s="2249" t="s">
        <v>496</v>
      </c>
      <c r="C12" s="2250"/>
      <c r="D12" s="2250"/>
      <c r="E12" s="2250"/>
      <c r="F12" s="2250"/>
      <c r="G12" s="2250"/>
      <c r="H12" s="2250"/>
      <c r="I12" s="2250"/>
      <c r="J12" s="2250"/>
      <c r="K12" s="2250"/>
      <c r="L12" s="2250"/>
      <c r="M12" s="2250"/>
      <c r="N12" s="2250"/>
      <c r="O12" s="2250"/>
      <c r="P12" s="2250"/>
      <c r="Q12" s="2250"/>
      <c r="R12" s="2250"/>
      <c r="S12" s="2251"/>
      <c r="T12" s="2259"/>
      <c r="U12" s="2260"/>
      <c r="V12" s="2260"/>
      <c r="W12" s="2260"/>
      <c r="X12" s="2261"/>
      <c r="Y12" s="2259"/>
      <c r="Z12" s="2260"/>
      <c r="AA12" s="2260"/>
      <c r="AB12" s="2260"/>
      <c r="AC12" s="2261"/>
      <c r="AD12" s="2259"/>
      <c r="AE12" s="2260"/>
      <c r="AF12" s="2260"/>
      <c r="AG12" s="2260"/>
      <c r="AH12" s="2261"/>
      <c r="AI12" s="2259"/>
      <c r="AJ12" s="2260"/>
      <c r="AK12" s="2260"/>
      <c r="AL12" s="2260"/>
      <c r="AM12" s="2261"/>
    </row>
    <row r="13" spans="1:40" ht="13.2">
      <c r="B13" s="11"/>
      <c r="C13" s="2252" t="s">
        <v>1933</v>
      </c>
      <c r="D13" s="2253"/>
      <c r="E13" s="2253"/>
      <c r="F13" s="2253"/>
      <c r="G13" s="2253"/>
      <c r="H13" s="2253"/>
      <c r="I13" s="2253"/>
      <c r="J13" s="2253"/>
      <c r="K13" s="2253"/>
      <c r="L13" s="2253"/>
      <c r="M13" s="2253"/>
      <c r="N13" s="2253"/>
      <c r="O13" s="2253"/>
      <c r="P13" s="2253"/>
      <c r="Q13" s="2253"/>
      <c r="R13" s="2253"/>
      <c r="S13" s="2254"/>
      <c r="T13" s="2257"/>
      <c r="U13" s="2258"/>
      <c r="V13" s="2258"/>
      <c r="W13" s="2258"/>
      <c r="X13" s="2258"/>
      <c r="Y13" s="2257"/>
      <c r="Z13" s="2258"/>
      <c r="AA13" s="2258"/>
      <c r="AB13" s="2258"/>
      <c r="AC13" s="2258"/>
      <c r="AD13" s="2258"/>
      <c r="AE13" s="2258"/>
      <c r="AF13" s="2258"/>
      <c r="AG13" s="2258"/>
      <c r="AH13" s="2258"/>
      <c r="AI13" s="2258"/>
      <c r="AJ13" s="2258"/>
      <c r="AK13" s="2258"/>
      <c r="AL13" s="2258"/>
      <c r="AM13" s="2258"/>
    </row>
    <row r="14" spans="1:40" ht="13.2">
      <c r="B14" s="11"/>
      <c r="C14" s="2253" t="s">
        <v>841</v>
      </c>
      <c r="D14" s="2253"/>
      <c r="E14" s="2253"/>
      <c r="F14" s="2253"/>
      <c r="G14" s="2253"/>
      <c r="H14" s="2253"/>
      <c r="I14" s="2253"/>
      <c r="J14" s="2253"/>
      <c r="K14" s="2253"/>
      <c r="L14" s="2253"/>
      <c r="M14" s="2253"/>
      <c r="N14" s="2253"/>
      <c r="O14" s="2253"/>
      <c r="P14" s="2253"/>
      <c r="Q14" s="2253"/>
      <c r="R14" s="2253"/>
      <c r="S14" s="2254"/>
      <c r="T14" s="1748"/>
      <c r="U14" s="1752"/>
      <c r="V14" s="1752"/>
      <c r="W14" s="1752"/>
      <c r="X14" s="1752"/>
      <c r="Y14" s="1748"/>
      <c r="Z14" s="1752"/>
      <c r="AA14" s="1752"/>
      <c r="AB14" s="1752"/>
      <c r="AC14" s="1752"/>
      <c r="AD14" s="1752"/>
      <c r="AE14" s="1752"/>
      <c r="AF14" s="1752"/>
      <c r="AG14" s="1752"/>
      <c r="AH14" s="1752"/>
      <c r="AI14" s="1752"/>
      <c r="AJ14" s="1752"/>
      <c r="AK14" s="1752"/>
      <c r="AL14" s="1752"/>
      <c r="AM14" s="1752"/>
    </row>
    <row r="15" spans="1:40" ht="13.2">
      <c r="B15" s="11"/>
      <c r="C15" s="2253" t="s">
        <v>842</v>
      </c>
      <c r="D15" s="2253"/>
      <c r="E15" s="2253"/>
      <c r="F15" s="2253"/>
      <c r="G15" s="2253"/>
      <c r="H15" s="2253"/>
      <c r="I15" s="2253"/>
      <c r="J15" s="2253"/>
      <c r="K15" s="2253"/>
      <c r="L15" s="2253"/>
      <c r="M15" s="2253"/>
      <c r="N15" s="2253"/>
      <c r="O15" s="2253"/>
      <c r="P15" s="2253"/>
      <c r="Q15" s="2253"/>
      <c r="R15" s="2253"/>
      <c r="S15" s="2254"/>
      <c r="T15" s="1748"/>
      <c r="U15" s="1752"/>
      <c r="V15" s="1752"/>
      <c r="W15" s="1752"/>
      <c r="X15" s="1752"/>
      <c r="Y15" s="1748"/>
      <c r="Z15" s="1752"/>
      <c r="AA15" s="1752"/>
      <c r="AB15" s="1752"/>
      <c r="AC15" s="1752"/>
      <c r="AD15" s="1752"/>
      <c r="AE15" s="1752"/>
      <c r="AF15" s="1752"/>
      <c r="AG15" s="1752"/>
      <c r="AH15" s="1752"/>
      <c r="AI15" s="1752"/>
      <c r="AJ15" s="1752"/>
      <c r="AK15" s="1752"/>
      <c r="AL15" s="1752"/>
      <c r="AM15" s="1752"/>
    </row>
    <row r="16" spans="1:40" ht="13.2">
      <c r="B16" s="11"/>
      <c r="C16" s="2252" t="s">
        <v>1117</v>
      </c>
      <c r="D16" s="2252"/>
      <c r="E16" s="2252"/>
      <c r="F16" s="2252"/>
      <c r="G16" s="2252"/>
      <c r="H16" s="2252"/>
      <c r="I16" s="2252"/>
      <c r="J16" s="2252"/>
      <c r="K16" s="2252"/>
      <c r="L16" s="2252"/>
      <c r="M16" s="2252"/>
      <c r="N16" s="2252"/>
      <c r="O16" s="2252"/>
      <c r="P16" s="2252"/>
      <c r="Q16" s="2252"/>
      <c r="R16" s="2252"/>
      <c r="S16" s="2255"/>
      <c r="T16" s="1748"/>
      <c r="U16" s="1752"/>
      <c r="V16" s="1752"/>
      <c r="W16" s="1752"/>
      <c r="X16" s="1752"/>
      <c r="Y16" s="1748"/>
      <c r="Z16" s="1752"/>
      <c r="AA16" s="1752"/>
      <c r="AB16" s="1752"/>
      <c r="AC16" s="1752"/>
      <c r="AD16" s="1752"/>
      <c r="AE16" s="1752"/>
      <c r="AF16" s="1752"/>
      <c r="AG16" s="1752"/>
      <c r="AH16" s="1752"/>
      <c r="AI16" s="1752"/>
      <c r="AJ16" s="1752"/>
      <c r="AK16" s="1752"/>
      <c r="AL16" s="1752"/>
      <c r="AM16" s="1752"/>
    </row>
    <row r="17" spans="1:39" ht="13.2">
      <c r="B17" s="11"/>
      <c r="C17" s="2253" t="s">
        <v>843</v>
      </c>
      <c r="D17" s="2253"/>
      <c r="E17" s="2253"/>
      <c r="F17" s="2253"/>
      <c r="G17" s="2253"/>
      <c r="H17" s="2253"/>
      <c r="I17" s="2253"/>
      <c r="J17" s="2253"/>
      <c r="K17" s="2253"/>
      <c r="L17" s="2253"/>
      <c r="M17" s="2253"/>
      <c r="N17" s="2253"/>
      <c r="O17" s="2253"/>
      <c r="P17" s="2253"/>
      <c r="Q17" s="2253"/>
      <c r="R17" s="2253"/>
      <c r="S17" s="2254"/>
      <c r="T17" s="1748"/>
      <c r="U17" s="1752"/>
      <c r="V17" s="1752"/>
      <c r="W17" s="1752"/>
      <c r="X17" s="1752"/>
      <c r="Y17" s="1748"/>
      <c r="Z17" s="1752"/>
      <c r="AA17" s="1752"/>
      <c r="AB17" s="1752"/>
      <c r="AC17" s="1752"/>
      <c r="AD17" s="1752"/>
      <c r="AE17" s="1752"/>
      <c r="AF17" s="1752"/>
      <c r="AG17" s="1752"/>
      <c r="AH17" s="1752"/>
      <c r="AI17" s="1752"/>
      <c r="AJ17" s="1752"/>
      <c r="AK17" s="1752"/>
      <c r="AL17" s="1752"/>
      <c r="AM17" s="1752"/>
    </row>
    <row r="18" spans="1:39" ht="13.2">
      <c r="B18" s="929"/>
      <c r="C18" s="1809" t="s">
        <v>1349</v>
      </c>
      <c r="D18" s="1809"/>
      <c r="E18" s="1809"/>
      <c r="F18" s="1809"/>
      <c r="G18" s="1809"/>
      <c r="H18" s="1809"/>
      <c r="I18" s="1809"/>
      <c r="J18" s="1809"/>
      <c r="K18" s="1809"/>
      <c r="L18" s="1809"/>
      <c r="M18" s="1809"/>
      <c r="N18" s="1809"/>
      <c r="O18" s="1809"/>
      <c r="P18" s="1809"/>
      <c r="Q18" s="1809"/>
      <c r="R18" s="1809"/>
      <c r="S18" s="1810"/>
      <c r="T18" s="1746"/>
      <c r="U18" s="1747"/>
      <c r="V18" s="1747"/>
      <c r="W18" s="1747"/>
      <c r="X18" s="1748"/>
      <c r="Y18" s="1748"/>
      <c r="Z18" s="1752"/>
      <c r="AA18" s="1752"/>
      <c r="AB18" s="1752"/>
      <c r="AC18" s="1752"/>
      <c r="AD18" s="1752"/>
      <c r="AE18" s="1752"/>
      <c r="AF18" s="1752"/>
      <c r="AG18" s="1752"/>
      <c r="AH18" s="1752"/>
      <c r="AI18" s="1752"/>
      <c r="AJ18" s="1752"/>
      <c r="AK18" s="1752"/>
      <c r="AL18" s="1752"/>
      <c r="AM18" s="1752"/>
    </row>
    <row r="19" spans="1:39" ht="13.2">
      <c r="B19" s="768"/>
      <c r="C19" s="1809" t="s">
        <v>1349</v>
      </c>
      <c r="D19" s="1809"/>
      <c r="E19" s="1809"/>
      <c r="F19" s="1809"/>
      <c r="G19" s="1809"/>
      <c r="H19" s="1809"/>
      <c r="I19" s="1809"/>
      <c r="J19" s="1809"/>
      <c r="K19" s="1809"/>
      <c r="L19" s="1809"/>
      <c r="M19" s="1809"/>
      <c r="N19" s="1809"/>
      <c r="O19" s="1809"/>
      <c r="P19" s="1809"/>
      <c r="Q19" s="1809"/>
      <c r="R19" s="1809"/>
      <c r="S19" s="1810"/>
      <c r="T19" s="1748"/>
      <c r="U19" s="1752"/>
      <c r="V19" s="1752"/>
      <c r="W19" s="1752"/>
      <c r="X19" s="1752"/>
      <c r="Y19" s="1748"/>
      <c r="Z19" s="1752"/>
      <c r="AA19" s="1752"/>
      <c r="AB19" s="1752"/>
      <c r="AC19" s="1752"/>
      <c r="AD19" s="1752"/>
      <c r="AE19" s="1752"/>
      <c r="AF19" s="1752"/>
      <c r="AG19" s="1752"/>
      <c r="AH19" s="1752"/>
      <c r="AI19" s="1752"/>
      <c r="AJ19" s="1752"/>
      <c r="AK19" s="1752"/>
      <c r="AL19" s="1752"/>
      <c r="AM19" s="1752"/>
    </row>
    <row r="20" spans="1:39" ht="13.2">
      <c r="B20" s="2219" t="s">
        <v>844</v>
      </c>
      <c r="C20" s="2220"/>
      <c r="D20" s="2220"/>
      <c r="E20" s="2220"/>
      <c r="F20" s="2220"/>
      <c r="G20" s="2220"/>
      <c r="H20" s="2220"/>
      <c r="I20" s="2220"/>
      <c r="J20" s="2220"/>
      <c r="K20" s="2220"/>
      <c r="L20" s="2220"/>
      <c r="M20" s="2220"/>
      <c r="N20" s="2220"/>
      <c r="O20" s="2220"/>
      <c r="P20" s="2220"/>
      <c r="Q20" s="2220"/>
      <c r="R20" s="2220"/>
      <c r="S20" s="2221"/>
      <c r="T20" s="2235">
        <f>SUM(T13:X19)</f>
        <v>0</v>
      </c>
      <c r="U20" s="2239"/>
      <c r="V20" s="2239"/>
      <c r="W20" s="2239"/>
      <c r="X20" s="2239"/>
      <c r="Y20" s="2235">
        <f>SUM(Y13:AC19)</f>
        <v>0</v>
      </c>
      <c r="Z20" s="2239"/>
      <c r="AA20" s="2239"/>
      <c r="AB20" s="2239"/>
      <c r="AC20" s="2239"/>
      <c r="AD20" s="2239">
        <f>SUM(AD13:AH19)</f>
        <v>0</v>
      </c>
      <c r="AE20" s="2239"/>
      <c r="AF20" s="2239"/>
      <c r="AG20" s="2239"/>
      <c r="AH20" s="2239"/>
      <c r="AI20" s="2239">
        <f>SUM(AI13:AM19)</f>
        <v>0</v>
      </c>
      <c r="AJ20" s="2239"/>
      <c r="AK20" s="2239"/>
      <c r="AL20" s="2239"/>
      <c r="AM20" s="2239"/>
    </row>
    <row r="21" spans="1:39" ht="13.2">
      <c r="B21" s="2219" t="s">
        <v>1932</v>
      </c>
      <c r="C21" s="2220"/>
      <c r="D21" s="2220"/>
      <c r="E21" s="2220"/>
      <c r="F21" s="2220"/>
      <c r="G21" s="2220"/>
      <c r="H21" s="2220"/>
      <c r="I21" s="2220"/>
      <c r="J21" s="2220"/>
      <c r="K21" s="2220"/>
      <c r="L21" s="2220"/>
      <c r="M21" s="2220"/>
      <c r="N21" s="2220"/>
      <c r="O21" s="2220"/>
      <c r="P21" s="2220"/>
      <c r="Q21" s="2220"/>
      <c r="R21" s="2220"/>
      <c r="S21" s="2221"/>
      <c r="T21" s="1748">
        <v>4909483</v>
      </c>
      <c r="U21" s="1752"/>
      <c r="V21" s="1752"/>
      <c r="W21" s="1752"/>
      <c r="X21" s="1752"/>
      <c r="Y21" s="1748"/>
      <c r="Z21" s="1752"/>
      <c r="AA21" s="1752"/>
      <c r="AB21" s="1752"/>
      <c r="AC21" s="1752"/>
      <c r="AD21" s="1752"/>
      <c r="AE21" s="1752"/>
      <c r="AF21" s="1752"/>
      <c r="AG21" s="1752"/>
      <c r="AH21" s="1752"/>
      <c r="AI21" s="1746"/>
      <c r="AJ21" s="1747"/>
      <c r="AK21" s="1747"/>
      <c r="AL21" s="1747"/>
      <c r="AM21" s="1748"/>
    </row>
    <row r="22" spans="1:39" ht="13.2">
      <c r="B22" s="2219" t="s">
        <v>845</v>
      </c>
      <c r="C22" s="2220"/>
      <c r="D22" s="2220"/>
      <c r="E22" s="2220"/>
      <c r="F22" s="2220"/>
      <c r="G22" s="2220"/>
      <c r="H22" s="2220"/>
      <c r="I22" s="2220"/>
      <c r="J22" s="2220"/>
      <c r="K22" s="2220"/>
      <c r="L22" s="2220"/>
      <c r="M22" s="2220"/>
      <c r="N22" s="2220"/>
      <c r="O22" s="2220"/>
      <c r="P22" s="2220"/>
      <c r="Q22" s="2220"/>
      <c r="R22" s="2220"/>
      <c r="S22" s="2221"/>
      <c r="T22" s="2236">
        <f>(T20+T21)*-1</f>
        <v>-4909483</v>
      </c>
      <c r="U22" s="2237"/>
      <c r="V22" s="2237"/>
      <c r="W22" s="2237"/>
      <c r="X22" s="2237"/>
      <c r="Y22" s="2236">
        <f>(Y20+Y21)*-1</f>
        <v>0</v>
      </c>
      <c r="Z22" s="2237"/>
      <c r="AA22" s="2237"/>
      <c r="AB22" s="2237"/>
      <c r="AC22" s="2237"/>
      <c r="AD22" s="2236">
        <f>(AD20+AD21)*-1</f>
        <v>0</v>
      </c>
      <c r="AE22" s="2237"/>
      <c r="AF22" s="2237"/>
      <c r="AG22" s="2237"/>
      <c r="AH22" s="2237"/>
      <c r="AI22" s="2247">
        <f>(AI20+AI21)*-1</f>
        <v>0</v>
      </c>
      <c r="AJ22" s="2248"/>
      <c r="AK22" s="2248"/>
      <c r="AL22" s="2248"/>
      <c r="AM22" s="2236"/>
    </row>
    <row r="23" spans="1:39" ht="13.2">
      <c r="A23" s="2"/>
      <c r="B23" s="2230" t="s">
        <v>2179</v>
      </c>
      <c r="C23" s="2231"/>
      <c r="D23" s="2231"/>
      <c r="E23" s="2231"/>
      <c r="F23" s="2231"/>
      <c r="G23" s="2231"/>
      <c r="H23" s="2231"/>
      <c r="I23" s="2231"/>
      <c r="J23" s="2231"/>
      <c r="K23" s="2231"/>
      <c r="L23" s="2231"/>
      <c r="M23" s="2231"/>
      <c r="N23" s="2231"/>
      <c r="O23" s="2231"/>
      <c r="P23" s="2231"/>
      <c r="Q23" s="2231"/>
      <c r="R23" s="2231"/>
      <c r="S23" s="2232"/>
      <c r="T23" s="2235">
        <f>T11+T22</f>
        <v>16571512</v>
      </c>
      <c r="U23" s="2239"/>
      <c r="V23" s="2239"/>
      <c r="W23" s="2239"/>
      <c r="X23" s="2239"/>
      <c r="Y23" s="2235">
        <f>Y11+Y22</f>
        <v>0</v>
      </c>
      <c r="Z23" s="2239"/>
      <c r="AA23" s="2239"/>
      <c r="AB23" s="2239"/>
      <c r="AC23" s="2239"/>
      <c r="AD23" s="2235">
        <f>IF(AD11=AD21,0,AD11)</f>
        <v>0</v>
      </c>
      <c r="AE23" s="2239"/>
      <c r="AF23" s="2239"/>
      <c r="AG23" s="2239"/>
      <c r="AH23" s="2239"/>
      <c r="AI23" s="2235">
        <f>IF(AI11=AI21,0,AI11)</f>
        <v>0</v>
      </c>
      <c r="AJ23" s="2239"/>
      <c r="AK23" s="2239"/>
      <c r="AL23" s="2239"/>
      <c r="AM23" s="2239"/>
    </row>
    <row r="24" spans="1:39" ht="13.2">
      <c r="B24" s="2219" t="s">
        <v>1350</v>
      </c>
      <c r="C24" s="2220"/>
      <c r="D24" s="2220"/>
      <c r="E24" s="2220"/>
      <c r="F24" s="2220"/>
      <c r="G24" s="2220"/>
      <c r="H24" s="2220"/>
      <c r="I24" s="2220"/>
      <c r="J24" s="2220"/>
      <c r="K24" s="2220"/>
      <c r="L24" s="2220"/>
      <c r="M24" s="2220"/>
      <c r="N24" s="2220"/>
      <c r="O24" s="2220"/>
      <c r="P24" s="2220"/>
      <c r="Q24" s="2220"/>
      <c r="R24" s="2220"/>
      <c r="S24" s="2221"/>
      <c r="T24" s="2233">
        <f>Application!AJ1000</f>
        <v>16571512.640000001</v>
      </c>
      <c r="U24" s="2234"/>
      <c r="V24" s="2234"/>
      <c r="W24" s="2234"/>
      <c r="X24" s="2234"/>
      <c r="Y24" s="2234"/>
      <c r="Z24" s="2234"/>
      <c r="AA24" s="2234"/>
      <c r="AB24" s="2234"/>
      <c r="AC24" s="2234"/>
      <c r="AD24" s="2234"/>
      <c r="AE24" s="2234"/>
      <c r="AF24" s="2234"/>
      <c r="AG24" s="2234"/>
      <c r="AH24" s="2234"/>
      <c r="AI24" s="2234"/>
      <c r="AJ24" s="2234"/>
      <c r="AK24" s="2234"/>
      <c r="AL24" s="2234"/>
      <c r="AM24" s="2235"/>
    </row>
    <row r="25" spans="1:39" ht="13.2">
      <c r="B25" s="2222" t="s">
        <v>2181</v>
      </c>
      <c r="C25" s="2223"/>
      <c r="D25" s="2223"/>
      <c r="E25" s="2223"/>
      <c r="F25" s="2223"/>
      <c r="G25" s="2223"/>
      <c r="H25" s="2223"/>
      <c r="I25" s="2223"/>
      <c r="J25" s="2223"/>
      <c r="K25" s="2223"/>
      <c r="L25" s="2223"/>
      <c r="M25" s="2223"/>
      <c r="N25" s="2223"/>
      <c r="O25" s="2223"/>
      <c r="P25" s="2223"/>
      <c r="Q25" s="2223"/>
      <c r="R25" s="2223"/>
      <c r="S25" s="2224"/>
      <c r="T25" s="2242">
        <f>IF(OR(AND(Application!T193="no",Application!T194="no",Application!T196="no"),Application!T195="yes"),1,1.3)</f>
        <v>1.3</v>
      </c>
      <c r="U25" s="2243"/>
      <c r="V25" s="2243"/>
      <c r="W25" s="2243"/>
      <c r="X25" s="2243"/>
      <c r="Y25" s="2242">
        <v>1</v>
      </c>
      <c r="Z25" s="2243"/>
      <c r="AA25" s="2243"/>
      <c r="AB25" s="2243"/>
      <c r="AC25" s="2244"/>
      <c r="AD25" s="2242">
        <v>1</v>
      </c>
      <c r="AE25" s="2243"/>
      <c r="AF25" s="2243"/>
      <c r="AG25" s="2243"/>
      <c r="AH25" s="2244"/>
      <c r="AI25" s="2242">
        <v>1</v>
      </c>
      <c r="AJ25" s="2243"/>
      <c r="AK25" s="2243"/>
      <c r="AL25" s="2243"/>
      <c r="AM25" s="2244"/>
    </row>
    <row r="26" spans="1:39" ht="13.2">
      <c r="B26" s="2219" t="s">
        <v>847</v>
      </c>
      <c r="C26" s="2220"/>
      <c r="D26" s="2220"/>
      <c r="E26" s="2220"/>
      <c r="F26" s="2220"/>
      <c r="G26" s="2220"/>
      <c r="H26" s="2220"/>
      <c r="I26" s="2220"/>
      <c r="J26" s="2220"/>
      <c r="K26" s="2220"/>
      <c r="L26" s="2220"/>
      <c r="M26" s="2220"/>
      <c r="N26" s="2220"/>
      <c r="O26" s="2220"/>
      <c r="P26" s="2220"/>
      <c r="Q26" s="2220"/>
      <c r="R26" s="2220"/>
      <c r="S26" s="2221"/>
      <c r="T26" s="2240">
        <f>T23*T25</f>
        <v>21542965.600000001</v>
      </c>
      <c r="U26" s="2241"/>
      <c r="V26" s="2241"/>
      <c r="W26" s="2241"/>
      <c r="X26" s="2241"/>
      <c r="Y26" s="2240">
        <f>Y23*Y25</f>
        <v>0</v>
      </c>
      <c r="Z26" s="2241"/>
      <c r="AA26" s="2241"/>
      <c r="AB26" s="2241"/>
      <c r="AC26" s="2241"/>
      <c r="AD26" s="2240">
        <f>AD23*AD25</f>
        <v>0</v>
      </c>
      <c r="AE26" s="2241"/>
      <c r="AF26" s="2241"/>
      <c r="AG26" s="2241"/>
      <c r="AH26" s="2241"/>
      <c r="AI26" s="2240">
        <f>AI23*AI25</f>
        <v>0</v>
      </c>
      <c r="AJ26" s="2241"/>
      <c r="AK26" s="2241"/>
      <c r="AL26" s="2241"/>
      <c r="AM26" s="2241"/>
    </row>
    <row r="27" spans="1:39" ht="13.2">
      <c r="A27" s="7"/>
      <c r="B27" s="2225" t="s">
        <v>978</v>
      </c>
      <c r="C27" s="2226"/>
      <c r="D27" s="2226"/>
      <c r="E27" s="2226"/>
      <c r="F27" s="2226"/>
      <c r="G27" s="2226"/>
      <c r="H27" s="2226"/>
      <c r="I27" s="2226"/>
      <c r="J27" s="2226"/>
      <c r="K27" s="2226"/>
      <c r="L27" s="2226"/>
      <c r="M27" s="2226"/>
      <c r="N27" s="2226"/>
      <c r="O27" s="2226"/>
      <c r="P27" s="2226"/>
      <c r="Q27" s="2226"/>
      <c r="R27" s="2226"/>
      <c r="S27" s="2227"/>
      <c r="T27" s="2228">
        <f>Application!AG438</f>
        <v>1</v>
      </c>
      <c r="U27" s="2229"/>
      <c r="V27" s="2229"/>
      <c r="W27" s="2229"/>
      <c r="X27" s="2229"/>
      <c r="Y27" s="2228">
        <f>Application!AG438</f>
        <v>1</v>
      </c>
      <c r="Z27" s="2229"/>
      <c r="AA27" s="2229"/>
      <c r="AB27" s="2229"/>
      <c r="AC27" s="2229"/>
      <c r="AD27" s="2228">
        <f>Application!AG438</f>
        <v>1</v>
      </c>
      <c r="AE27" s="2229"/>
      <c r="AF27" s="2229"/>
      <c r="AG27" s="2229"/>
      <c r="AH27" s="2229"/>
      <c r="AI27" s="2228">
        <f>Application!AG438</f>
        <v>1</v>
      </c>
      <c r="AJ27" s="2229"/>
      <c r="AK27" s="2229"/>
      <c r="AL27" s="2229"/>
      <c r="AM27" s="2229"/>
    </row>
    <row r="28" spans="1:39" ht="12.75" customHeight="1">
      <c r="A28" s="6"/>
      <c r="B28" s="2219" t="s">
        <v>925</v>
      </c>
      <c r="C28" s="2220"/>
      <c r="D28" s="2220"/>
      <c r="E28" s="2220"/>
      <c r="F28" s="2220"/>
      <c r="G28" s="2220"/>
      <c r="H28" s="2220"/>
      <c r="I28" s="2220"/>
      <c r="J28" s="2220"/>
      <c r="K28" s="2220"/>
      <c r="L28" s="2220"/>
      <c r="M28" s="2220"/>
      <c r="N28" s="2220"/>
      <c r="O28" s="2220"/>
      <c r="P28" s="2220"/>
      <c r="Q28" s="2220"/>
      <c r="R28" s="2220"/>
      <c r="S28" s="2221"/>
      <c r="T28" s="1772">
        <f>IF(ISERROR((T26*T27)),0,(T26*T27))</f>
        <v>21542965.600000001</v>
      </c>
      <c r="U28" s="2238"/>
      <c r="V28" s="2238"/>
      <c r="W28" s="2238"/>
      <c r="X28" s="2238"/>
      <c r="Y28" s="1772">
        <f>IF(ISERROR((Y26*Y27)),0,(Y26*Y27))</f>
        <v>0</v>
      </c>
      <c r="Z28" s="2238"/>
      <c r="AA28" s="2238"/>
      <c r="AB28" s="2238"/>
      <c r="AC28" s="2238"/>
      <c r="AD28" s="1772">
        <f>IF(ISERROR((AD26*AD27)),0,(AD26*AD27))</f>
        <v>0</v>
      </c>
      <c r="AE28" s="2238"/>
      <c r="AF28" s="2238"/>
      <c r="AG28" s="2238"/>
      <c r="AH28" s="2238"/>
      <c r="AI28" s="1772">
        <f>IF(ISERROR((AI26*AI27)),0,(AI26*AI27))</f>
        <v>0</v>
      </c>
      <c r="AJ28" s="2238"/>
      <c r="AK28" s="2238"/>
      <c r="AL28" s="2238"/>
      <c r="AM28" s="2238"/>
    </row>
    <row r="29" spans="1:39" ht="13.2">
      <c r="B29" s="2219" t="s">
        <v>689</v>
      </c>
      <c r="C29" s="2220"/>
      <c r="D29" s="2220"/>
      <c r="E29" s="2220"/>
      <c r="F29" s="2220"/>
      <c r="G29" s="2220"/>
      <c r="H29" s="2220"/>
      <c r="I29" s="2220"/>
      <c r="J29" s="2220"/>
      <c r="K29" s="2220"/>
      <c r="L29" s="2220"/>
      <c r="M29" s="2220"/>
      <c r="N29" s="2220"/>
      <c r="O29" s="2220"/>
      <c r="P29" s="2220"/>
      <c r="Q29" s="2220"/>
      <c r="R29" s="2220"/>
      <c r="S29" s="2221"/>
      <c r="T29" s="2233">
        <f>T28+Y28+AD28+AI28</f>
        <v>21542965.600000001</v>
      </c>
      <c r="U29" s="2234"/>
      <c r="V29" s="2234"/>
      <c r="W29" s="2234"/>
      <c r="X29" s="2234"/>
      <c r="Y29" s="2234"/>
      <c r="Z29" s="2234"/>
      <c r="AA29" s="2234"/>
      <c r="AB29" s="2234"/>
      <c r="AC29" s="2234"/>
      <c r="AD29" s="2234"/>
      <c r="AE29" s="2234"/>
      <c r="AF29" s="2234"/>
      <c r="AG29" s="2234"/>
      <c r="AH29" s="2234"/>
      <c r="AI29" s="2234"/>
      <c r="AJ29" s="2234"/>
      <c r="AK29" s="2234"/>
      <c r="AL29" s="2234"/>
      <c r="AM29" s="2235"/>
    </row>
    <row r="30" spans="1:39" ht="12.75" customHeight="1">
      <c r="B30" s="2287" t="s">
        <v>2180</v>
      </c>
      <c r="C30" s="2287"/>
      <c r="D30" s="2287"/>
      <c r="E30" s="2287"/>
      <c r="F30" s="2287"/>
      <c r="G30" s="2287"/>
      <c r="H30" s="2287"/>
      <c r="I30" s="2287"/>
      <c r="J30" s="2287"/>
      <c r="K30" s="2287"/>
      <c r="L30" s="2287"/>
      <c r="M30" s="2287"/>
      <c r="N30" s="2287"/>
      <c r="O30" s="2287"/>
      <c r="P30" s="2287"/>
      <c r="Q30" s="2287"/>
      <c r="R30" s="2287"/>
      <c r="S30" s="2287"/>
      <c r="T30" s="2287"/>
      <c r="U30" s="2287"/>
      <c r="V30" s="2287"/>
      <c r="W30" s="2287"/>
      <c r="X30" s="2287"/>
      <c r="Y30" s="2287"/>
      <c r="Z30" s="2287"/>
      <c r="AA30" s="2287"/>
      <c r="AB30" s="2287"/>
      <c r="AC30" s="2287"/>
      <c r="AD30" s="2287"/>
      <c r="AE30" s="2287"/>
      <c r="AF30" s="2287"/>
      <c r="AG30" s="2287"/>
      <c r="AH30" s="2287"/>
      <c r="AI30" s="2287"/>
      <c r="AJ30" s="2287"/>
      <c r="AK30" s="2287"/>
      <c r="AL30" s="2287"/>
      <c r="AM30" s="2287"/>
    </row>
    <row r="31" spans="1:39" ht="13.2">
      <c r="B31" s="2288" t="s">
        <v>2184</v>
      </c>
      <c r="C31" s="2288"/>
      <c r="D31" s="2288"/>
      <c r="E31" s="2288"/>
      <c r="F31" s="2288"/>
      <c r="G31" s="2288"/>
      <c r="H31" s="2288"/>
      <c r="I31" s="2288"/>
      <c r="J31" s="2288"/>
      <c r="K31" s="2288"/>
      <c r="L31" s="2288"/>
      <c r="M31" s="2288"/>
      <c r="N31" s="2288"/>
      <c r="O31" s="2288"/>
      <c r="P31" s="2288"/>
      <c r="Q31" s="2288"/>
      <c r="R31" s="2288"/>
      <c r="S31" s="2288"/>
      <c r="T31" s="2288"/>
      <c r="U31" s="2288"/>
      <c r="V31" s="2288"/>
      <c r="W31" s="2288"/>
      <c r="X31" s="2288"/>
      <c r="Y31" s="2288"/>
      <c r="Z31" s="2288"/>
      <c r="AA31" s="2288"/>
      <c r="AB31" s="2288"/>
      <c r="AC31" s="2288"/>
      <c r="AD31" s="2288"/>
      <c r="AE31" s="2288"/>
      <c r="AF31" s="2288"/>
      <c r="AG31" s="2288"/>
      <c r="AH31" s="2288"/>
      <c r="AI31" s="2288"/>
      <c r="AJ31" s="2288"/>
      <c r="AK31" s="2288"/>
      <c r="AL31" s="2288"/>
      <c r="AM31" s="2288"/>
    </row>
    <row r="32" spans="1:39" ht="13.2"/>
    <row r="33" spans="1:44" ht="13.2">
      <c r="C33" s="7"/>
      <c r="E33" s="1"/>
      <c r="F33" s="1"/>
      <c r="G33" s="1"/>
      <c r="H33" s="1"/>
      <c r="I33" s="1"/>
      <c r="J33" s="1"/>
      <c r="K33" s="1"/>
      <c r="L33" s="1"/>
      <c r="M33" s="1"/>
      <c r="N33" s="1"/>
      <c r="O33" s="1"/>
      <c r="P33" s="1"/>
      <c r="Q33" s="1"/>
      <c r="R33" s="1"/>
      <c r="S33" s="1"/>
      <c r="T33" s="1"/>
      <c r="U33" s="1"/>
      <c r="V33" s="1"/>
      <c r="W33" s="1"/>
      <c r="X33" s="279"/>
      <c r="Y33" s="280"/>
      <c r="Z33" s="280"/>
      <c r="AA33" s="280"/>
      <c r="AB33" s="280"/>
      <c r="AC33" s="280"/>
      <c r="AD33" s="280"/>
      <c r="AE33" s="280"/>
      <c r="AF33" s="280"/>
      <c r="AG33" s="280"/>
      <c r="AH33" s="280"/>
    </row>
    <row r="34" spans="1:44" ht="13.2">
      <c r="A34" s="6" t="s">
        <v>8</v>
      </c>
      <c r="C34" s="6" t="s">
        <v>230</v>
      </c>
    </row>
    <row r="35" spans="1:44" ht="13.2">
      <c r="B35" s="9"/>
      <c r="C35" s="10"/>
      <c r="D35" s="10"/>
      <c r="E35" s="10"/>
      <c r="F35" s="10"/>
      <c r="G35" s="10"/>
      <c r="H35" s="10"/>
      <c r="I35" s="10"/>
      <c r="J35" s="10"/>
      <c r="K35" s="10"/>
      <c r="L35" s="10"/>
      <c r="M35" s="10"/>
      <c r="N35" s="10"/>
      <c r="O35" s="10"/>
      <c r="P35" s="10"/>
      <c r="Q35" s="10"/>
      <c r="R35" s="10"/>
      <c r="S35" s="10"/>
      <c r="T35" s="10"/>
      <c r="U35" s="10"/>
      <c r="V35" s="10"/>
      <c r="W35" s="10"/>
      <c r="X35" s="336"/>
      <c r="Y35" s="2245" t="s">
        <v>1814</v>
      </c>
      <c r="Z35" s="2245"/>
      <c r="AA35" s="2245"/>
      <c r="AB35" s="2245"/>
      <c r="AC35" s="2245"/>
      <c r="AD35" s="2289" t="s">
        <v>46</v>
      </c>
      <c r="AE35" s="2289"/>
      <c r="AF35" s="2289"/>
      <c r="AG35" s="2289"/>
      <c r="AH35" s="2289"/>
    </row>
    <row r="36" spans="1:44" ht="12.75" customHeight="1">
      <c r="B36" s="337"/>
      <c r="C36" s="1"/>
      <c r="D36" s="1"/>
      <c r="E36" s="1"/>
      <c r="F36" s="1"/>
      <c r="G36" s="1"/>
      <c r="H36" s="1"/>
      <c r="I36" s="1"/>
      <c r="J36" s="1"/>
      <c r="K36" s="1"/>
      <c r="L36" s="1"/>
      <c r="M36" s="1"/>
      <c r="N36" s="1"/>
      <c r="O36" s="1"/>
      <c r="P36" s="1"/>
      <c r="Q36" s="1"/>
      <c r="R36" s="1"/>
      <c r="S36" s="1"/>
      <c r="T36" s="1"/>
      <c r="U36" s="1"/>
      <c r="V36" s="1"/>
      <c r="W36" s="1"/>
      <c r="X36" s="338"/>
      <c r="Y36" s="2245"/>
      <c r="Z36" s="2245"/>
      <c r="AA36" s="2245"/>
      <c r="AB36" s="2245"/>
      <c r="AC36" s="2245"/>
      <c r="AD36" s="2289"/>
      <c r="AE36" s="2289"/>
      <c r="AF36" s="2289"/>
      <c r="AG36" s="2289"/>
      <c r="AH36" s="2289"/>
    </row>
    <row r="37" spans="1:44" ht="13.2">
      <c r="B37" s="277"/>
      <c r="C37" s="278"/>
      <c r="D37" s="278"/>
      <c r="E37" s="278"/>
      <c r="F37" s="278"/>
      <c r="G37" s="278"/>
      <c r="H37" s="278"/>
      <c r="I37" s="278"/>
      <c r="J37" s="278"/>
      <c r="K37" s="278"/>
      <c r="L37" s="278"/>
      <c r="M37" s="278"/>
      <c r="N37" s="278"/>
      <c r="O37" s="278"/>
      <c r="P37" s="278"/>
      <c r="Q37" s="278"/>
      <c r="R37" s="278"/>
      <c r="S37" s="278"/>
      <c r="T37" s="278"/>
      <c r="U37" s="278"/>
      <c r="V37" s="278"/>
      <c r="W37" s="278"/>
      <c r="X37" s="339"/>
      <c r="Y37" s="2245"/>
      <c r="Z37" s="2245"/>
      <c r="AA37" s="2245"/>
      <c r="AB37" s="2245"/>
      <c r="AC37" s="2245"/>
      <c r="AD37" s="2289"/>
      <c r="AE37" s="2289"/>
      <c r="AF37" s="2289"/>
      <c r="AG37" s="2289"/>
      <c r="AH37" s="2289"/>
    </row>
    <row r="38" spans="1:44" ht="12.75" customHeight="1">
      <c r="A38" s="6"/>
      <c r="B38" s="2219" t="s">
        <v>925</v>
      </c>
      <c r="C38" s="2220"/>
      <c r="D38" s="2220"/>
      <c r="E38" s="2220"/>
      <c r="F38" s="2220"/>
      <c r="G38" s="2220"/>
      <c r="H38" s="2220"/>
      <c r="I38" s="2220"/>
      <c r="J38" s="2220"/>
      <c r="K38" s="2220"/>
      <c r="L38" s="2220"/>
      <c r="M38" s="2220"/>
      <c r="N38" s="2220"/>
      <c r="O38" s="2220"/>
      <c r="P38" s="2220"/>
      <c r="Q38" s="2220"/>
      <c r="R38" s="2220"/>
      <c r="S38" s="2220"/>
      <c r="T38" s="2220"/>
      <c r="U38" s="2220"/>
      <c r="V38" s="2220"/>
      <c r="W38" s="2220"/>
      <c r="X38" s="2221"/>
      <c r="Y38" s="2239">
        <f>IF(T24&gt;=(T23+Y23+AD23+AI23),T28+Y28,0)</f>
        <v>21542965.600000001</v>
      </c>
      <c r="Z38" s="2239"/>
      <c r="AA38" s="2239"/>
      <c r="AB38" s="2239"/>
      <c r="AC38" s="2239"/>
      <c r="AD38" s="2239">
        <f>IF(T24&gt;=(T23+Y23+AD23+AI23),AD28+AI28,0)</f>
        <v>0</v>
      </c>
      <c r="AE38" s="2239"/>
      <c r="AF38" s="2239"/>
      <c r="AG38" s="2239"/>
      <c r="AH38" s="2239"/>
    </row>
    <row r="39" spans="1:44" ht="13.2">
      <c r="B39" s="2219" t="s">
        <v>2056</v>
      </c>
      <c r="C39" s="2220"/>
      <c r="D39" s="2220"/>
      <c r="E39" s="2220"/>
      <c r="F39" s="2220"/>
      <c r="G39" s="2220"/>
      <c r="H39" s="2220"/>
      <c r="I39" s="2220"/>
      <c r="J39" s="2220"/>
      <c r="K39" s="2220"/>
      <c r="L39" s="2220"/>
      <c r="M39" s="2220"/>
      <c r="N39" s="2220"/>
      <c r="O39" s="2220"/>
      <c r="P39" s="2220"/>
      <c r="Q39" s="2220"/>
      <c r="R39" s="2220"/>
      <c r="S39" s="2220"/>
      <c r="T39" s="2220"/>
      <c r="U39" s="2220"/>
      <c r="V39" s="2220"/>
      <c r="W39" s="2220"/>
      <c r="X39" s="2221"/>
      <c r="Y39" s="2294">
        <v>0.09</v>
      </c>
      <c r="Z39" s="2294"/>
      <c r="AA39" s="2294"/>
      <c r="AB39" s="2294"/>
      <c r="AC39" s="2294"/>
      <c r="AD39" s="2294">
        <v>0.04</v>
      </c>
      <c r="AE39" s="2294"/>
      <c r="AF39" s="2294"/>
      <c r="AG39" s="2294"/>
      <c r="AH39" s="2294"/>
    </row>
    <row r="40" spans="1:44" ht="12.75" customHeight="1">
      <c r="A40" s="6"/>
      <c r="B40" s="2219" t="s">
        <v>26</v>
      </c>
      <c r="C40" s="2220"/>
      <c r="D40" s="2220"/>
      <c r="E40" s="2220"/>
      <c r="F40" s="2220"/>
      <c r="G40" s="2220"/>
      <c r="H40" s="2220"/>
      <c r="I40" s="2220"/>
      <c r="J40" s="2220"/>
      <c r="K40" s="2220"/>
      <c r="L40" s="2220"/>
      <c r="M40" s="2220"/>
      <c r="N40" s="2220"/>
      <c r="O40" s="2220"/>
      <c r="P40" s="2220"/>
      <c r="Q40" s="2220"/>
      <c r="R40" s="2220"/>
      <c r="S40" s="2220"/>
      <c r="T40" s="2220"/>
      <c r="U40" s="2220"/>
      <c r="V40" s="2220"/>
      <c r="W40" s="2220"/>
      <c r="X40" s="2221"/>
      <c r="Y40" s="2239">
        <f>ROUND(Y38*Y39,0)</f>
        <v>1938867</v>
      </c>
      <c r="Z40" s="2239"/>
      <c r="AA40" s="2239"/>
      <c r="AB40" s="2239"/>
      <c r="AC40" s="2239"/>
      <c r="AD40" s="2235">
        <f>ROUND(AD38*AD39,0)</f>
        <v>0</v>
      </c>
      <c r="AE40" s="2239"/>
      <c r="AF40" s="2239"/>
      <c r="AG40" s="2239"/>
      <c r="AH40" s="2239"/>
    </row>
    <row r="41" spans="1:44" ht="13.2">
      <c r="B41" s="2219" t="s">
        <v>683</v>
      </c>
      <c r="C41" s="2220"/>
      <c r="D41" s="2220"/>
      <c r="E41" s="2220"/>
      <c r="F41" s="2220"/>
      <c r="G41" s="2220"/>
      <c r="H41" s="2220"/>
      <c r="I41" s="2220"/>
      <c r="J41" s="2220"/>
      <c r="K41" s="2220"/>
      <c r="L41" s="2220"/>
      <c r="M41" s="2220"/>
      <c r="N41" s="2220"/>
      <c r="O41" s="2220"/>
      <c r="P41" s="2220"/>
      <c r="Q41" s="2220"/>
      <c r="R41" s="2220"/>
      <c r="S41" s="2220"/>
      <c r="T41" s="2220"/>
      <c r="U41" s="2220"/>
      <c r="V41" s="2220"/>
      <c r="W41" s="2220"/>
      <c r="X41" s="2221"/>
      <c r="Y41" s="2295">
        <f>IF(Application!Y211="No",'Basis &amp; Credits'!AR42,AR43)</f>
        <v>1938867</v>
      </c>
      <c r="Z41" s="2296"/>
      <c r="AA41" s="2296"/>
      <c r="AB41" s="2296"/>
      <c r="AC41" s="2296"/>
      <c r="AD41" s="2296"/>
      <c r="AE41" s="2296"/>
      <c r="AF41" s="2296"/>
      <c r="AG41" s="2296"/>
      <c r="AH41" s="2297"/>
    </row>
    <row r="42" spans="1:44" ht="12.75" customHeight="1">
      <c r="A42" s="6"/>
      <c r="B42" s="2279" t="s">
        <v>2057</v>
      </c>
      <c r="C42" s="2279"/>
      <c r="D42" s="2279"/>
      <c r="E42" s="2279"/>
      <c r="F42" s="2279"/>
      <c r="G42" s="2279"/>
      <c r="H42" s="2279"/>
      <c r="I42" s="2279"/>
      <c r="J42" s="2279"/>
      <c r="K42" s="2279"/>
      <c r="L42" s="2279"/>
      <c r="M42" s="2279"/>
      <c r="N42" s="2279"/>
      <c r="O42" s="2279"/>
      <c r="P42" s="2279"/>
      <c r="Q42" s="2279"/>
      <c r="R42" s="2279"/>
      <c r="S42" s="2279"/>
      <c r="T42" s="2279"/>
      <c r="U42" s="2279"/>
      <c r="V42" s="2279"/>
      <c r="W42" s="2279"/>
      <c r="X42" s="2279"/>
      <c r="Y42" s="2279"/>
      <c r="Z42" s="2279"/>
      <c r="AA42" s="2279"/>
      <c r="AB42" s="2279"/>
      <c r="AC42" s="2279"/>
      <c r="AD42" s="2279"/>
      <c r="AE42" s="2279"/>
      <c r="AF42" s="2279"/>
      <c r="AG42" s="2279"/>
      <c r="AH42" s="2279"/>
      <c r="AI42" s="949"/>
      <c r="AJ42" s="949"/>
      <c r="AK42" s="949"/>
      <c r="AL42" s="949"/>
      <c r="AM42" s="949"/>
      <c r="AN42" s="949"/>
      <c r="AR42" s="2">
        <f>IF((Y40+AD40)&gt;2500000,2500000,Y40+AD40)</f>
        <v>1938867</v>
      </c>
    </row>
    <row r="43" spans="1:44" ht="13.2">
      <c r="B43" s="933"/>
      <c r="C43" s="933"/>
      <c r="D43" s="933"/>
      <c r="E43" s="933"/>
      <c r="F43" s="933"/>
      <c r="G43" s="933"/>
      <c r="H43" s="933"/>
      <c r="I43" s="933"/>
      <c r="J43" s="933"/>
      <c r="K43" s="933"/>
      <c r="L43" s="933"/>
      <c r="M43" s="933"/>
      <c r="N43" s="933"/>
      <c r="O43" s="933"/>
      <c r="P43" s="933"/>
      <c r="Q43" s="933"/>
      <c r="R43" s="933"/>
      <c r="S43" s="933"/>
      <c r="T43" s="933"/>
      <c r="U43" s="933"/>
      <c r="V43" s="933"/>
      <c r="W43" s="933"/>
      <c r="X43" s="933"/>
      <c r="Y43" s="933"/>
      <c r="Z43" s="933"/>
      <c r="AA43" s="933"/>
      <c r="AB43" s="933"/>
      <c r="AC43" s="933"/>
      <c r="AD43" s="933"/>
      <c r="AE43" s="933"/>
      <c r="AF43" s="933"/>
      <c r="AG43" s="933"/>
      <c r="AH43" s="933"/>
      <c r="AR43" s="2">
        <f>IF((Y40+AD40)&gt;5000000,5000000,Y40+AD40)</f>
        <v>1938867</v>
      </c>
    </row>
    <row r="44" spans="1:44" ht="13.2">
      <c r="A44" s="6"/>
      <c r="B44" s="933"/>
      <c r="C44" s="933"/>
      <c r="D44" s="933"/>
      <c r="E44" s="933"/>
      <c r="F44" s="933"/>
      <c r="G44" s="933"/>
      <c r="H44" s="933"/>
      <c r="I44" s="933"/>
      <c r="J44" s="933"/>
      <c r="K44" s="933"/>
      <c r="L44" s="933"/>
      <c r="M44" s="933"/>
      <c r="N44" s="933"/>
      <c r="O44" s="933"/>
      <c r="P44" s="933"/>
      <c r="Q44" s="933"/>
      <c r="R44" s="933"/>
      <c r="S44" s="933"/>
      <c r="T44" s="933"/>
      <c r="U44" s="933"/>
      <c r="V44" s="933"/>
      <c r="W44" s="933"/>
      <c r="X44" s="933"/>
      <c r="Y44" s="933"/>
      <c r="Z44" s="933"/>
      <c r="AA44" s="933"/>
      <c r="AB44" s="933"/>
      <c r="AC44" s="933"/>
      <c r="AD44" s="933"/>
      <c r="AE44" s="933"/>
      <c r="AF44" s="933"/>
      <c r="AG44" s="933"/>
      <c r="AH44" s="933"/>
    </row>
    <row r="45" spans="1:44" ht="13.2">
      <c r="A45" s="6" t="s">
        <v>131</v>
      </c>
      <c r="C45" s="6" t="s">
        <v>281</v>
      </c>
    </row>
    <row r="46" spans="1:44" ht="13.2">
      <c r="D46" s="6" t="s">
        <v>282</v>
      </c>
      <c r="AB46" s="2283">
        <f>'Sources and Uses Budget'!B104-'Sources and Uses Budget'!$B$15</f>
        <v>24107565</v>
      </c>
      <c r="AC46" s="2284"/>
      <c r="AD46" s="2284"/>
      <c r="AE46" s="2284"/>
      <c r="AF46" s="2285"/>
    </row>
    <row r="47" spans="1:44" ht="12.75" customHeight="1">
      <c r="D47" s="6" t="s">
        <v>919</v>
      </c>
      <c r="AB47" s="2283">
        <f>Application!AO642-MIN('Sources and Uses Budget'!B15,Application!AG388)</f>
        <v>7966497</v>
      </c>
      <c r="AC47" s="2284"/>
      <c r="AD47" s="2284"/>
      <c r="AE47" s="2284"/>
      <c r="AF47" s="2285"/>
    </row>
    <row r="48" spans="1:44" ht="13.2">
      <c r="D48" s="6" t="s">
        <v>422</v>
      </c>
      <c r="AB48" s="2283">
        <f>AB46-AB47</f>
        <v>16141068</v>
      </c>
      <c r="AC48" s="2284"/>
      <c r="AD48" s="2284"/>
      <c r="AE48" s="2284"/>
      <c r="AF48" s="2285"/>
    </row>
    <row r="49" spans="1:40" ht="13.2">
      <c r="D49" s="6" t="s">
        <v>958</v>
      </c>
      <c r="X49" s="2"/>
      <c r="Y49" s="2"/>
      <c r="Z49" s="2"/>
      <c r="AA49" s="409"/>
      <c r="AB49" s="2273">
        <f>AB48/(Y41*10)</f>
        <v>0.83250001160471554</v>
      </c>
      <c r="AC49" s="2274"/>
      <c r="AD49" s="2274"/>
      <c r="AE49" s="2274"/>
      <c r="AF49" s="2275"/>
    </row>
    <row r="50" spans="1:40" s="515" customFormat="1" ht="15" customHeight="1">
      <c r="A50" s="2"/>
      <c r="B50" s="2"/>
      <c r="C50" s="2"/>
      <c r="D50" s="272"/>
      <c r="E50" s="2286" t="s">
        <v>2246</v>
      </c>
      <c r="F50" s="2286"/>
      <c r="G50" s="2286"/>
      <c r="H50" s="2286"/>
      <c r="I50" s="2286"/>
      <c r="J50" s="2286"/>
      <c r="K50" s="2286"/>
      <c r="L50" s="2286"/>
      <c r="M50" s="2286"/>
      <c r="N50" s="2286"/>
      <c r="O50" s="2286"/>
      <c r="P50" s="2286"/>
      <c r="Q50" s="2286"/>
      <c r="R50" s="2286"/>
      <c r="S50" s="2286"/>
      <c r="T50" s="2286"/>
      <c r="U50" s="2286"/>
      <c r="V50" s="2286"/>
      <c r="W50" s="2286"/>
      <c r="X50" s="2286"/>
      <c r="Y50" s="2286"/>
      <c r="Z50" s="2286"/>
      <c r="AA50" s="778"/>
      <c r="AB50" s="778"/>
      <c r="AC50" s="778"/>
      <c r="AD50" s="778"/>
      <c r="AE50" s="778"/>
      <c r="AF50" s="778"/>
      <c r="AG50" s="2"/>
      <c r="AH50" s="2"/>
      <c r="AI50" s="2"/>
      <c r="AJ50" s="2"/>
      <c r="AK50" s="2"/>
      <c r="AL50" s="2"/>
      <c r="AM50" s="2"/>
      <c r="AN50" s="2"/>
    </row>
    <row r="51" spans="1:40" s="515" customFormat="1" ht="12" customHeight="1">
      <c r="A51" s="2"/>
      <c r="B51" s="2"/>
      <c r="C51" s="2"/>
      <c r="D51" s="272"/>
      <c r="E51" s="2286"/>
      <c r="F51" s="2286"/>
      <c r="G51" s="2286"/>
      <c r="H51" s="2286"/>
      <c r="I51" s="2286"/>
      <c r="J51" s="2286"/>
      <c r="K51" s="2286"/>
      <c r="L51" s="2286"/>
      <c r="M51" s="2286"/>
      <c r="N51" s="2286"/>
      <c r="O51" s="2286"/>
      <c r="P51" s="2286"/>
      <c r="Q51" s="2286"/>
      <c r="R51" s="2286"/>
      <c r="S51" s="2286"/>
      <c r="T51" s="2286"/>
      <c r="U51" s="2286"/>
      <c r="V51" s="2286"/>
      <c r="W51" s="2286"/>
      <c r="X51" s="2286"/>
      <c r="Y51" s="2286"/>
      <c r="Z51" s="2286"/>
      <c r="AA51" s="779"/>
      <c r="AB51" s="779"/>
      <c r="AC51" s="779"/>
      <c r="AD51" s="779"/>
      <c r="AE51" s="779"/>
      <c r="AF51" s="779"/>
      <c r="AG51" s="516"/>
      <c r="AH51" s="2"/>
      <c r="AI51" s="2"/>
      <c r="AJ51" s="2"/>
      <c r="AK51" s="2"/>
      <c r="AL51" s="2"/>
      <c r="AM51" s="2"/>
      <c r="AN51" s="2"/>
    </row>
    <row r="52" spans="1:40" ht="12" customHeight="1">
      <c r="A52" s="2"/>
      <c r="B52" s="2"/>
      <c r="C52" s="2"/>
      <c r="D52" s="272"/>
      <c r="E52" s="510"/>
      <c r="F52" s="510"/>
      <c r="G52" s="510"/>
      <c r="H52" s="510"/>
      <c r="I52" s="510"/>
      <c r="J52" s="510"/>
      <c r="K52" s="510"/>
      <c r="L52" s="510"/>
      <c r="M52" s="510"/>
      <c r="N52" s="510"/>
      <c r="O52" s="510"/>
      <c r="P52" s="510"/>
      <c r="Q52" s="510"/>
      <c r="R52" s="510"/>
      <c r="S52" s="510"/>
      <c r="T52" s="510"/>
      <c r="U52" s="510"/>
      <c r="V52" s="510"/>
      <c r="W52" s="510"/>
      <c r="X52" s="510"/>
      <c r="Y52" s="510"/>
      <c r="Z52" s="510"/>
      <c r="AA52" s="2"/>
      <c r="AB52" s="2"/>
      <c r="AC52" s="2"/>
      <c r="AD52" s="2"/>
      <c r="AE52" s="2"/>
      <c r="AF52" s="2"/>
      <c r="AG52" s="2"/>
      <c r="AH52" s="2"/>
      <c r="AI52" s="2"/>
      <c r="AJ52" s="2"/>
      <c r="AK52" s="2"/>
      <c r="AL52" s="2"/>
      <c r="AM52" s="2"/>
      <c r="AN52" s="2"/>
    </row>
    <row r="53" spans="1:40" ht="15" customHeight="1">
      <c r="D53" s="6" t="s">
        <v>27</v>
      </c>
      <c r="AB53" s="2283">
        <f>ROUND(IF(ISERROR((AB48/AB49)),0,(AB48/AB49)),0)</f>
        <v>19388670</v>
      </c>
      <c r="AC53" s="2284"/>
      <c r="AD53" s="2284"/>
      <c r="AE53" s="2284"/>
      <c r="AF53" s="2285"/>
    </row>
    <row r="54" spans="1:40" ht="12.75" customHeight="1">
      <c r="D54" s="6" t="s">
        <v>621</v>
      </c>
      <c r="AB54" s="2283">
        <f>(AB53/10)</f>
        <v>1938867</v>
      </c>
      <c r="AC54" s="2284"/>
      <c r="AD54" s="2284"/>
      <c r="AE54" s="2284"/>
      <c r="AF54" s="2285"/>
    </row>
    <row r="55" spans="1:40" ht="13.2">
      <c r="D55" s="6" t="s">
        <v>379</v>
      </c>
      <c r="AB55" s="2280">
        <f>(IF((Y41&lt;AB54),Y41,AB54))</f>
        <v>1938867</v>
      </c>
      <c r="AC55" s="2281"/>
      <c r="AD55" s="2281"/>
      <c r="AE55" s="2281"/>
      <c r="AF55" s="2282"/>
    </row>
    <row r="56" spans="1:40" ht="13.2">
      <c r="D56" s="6" t="s">
        <v>118</v>
      </c>
      <c r="AB56" s="2283">
        <f>ROUND((10*AB55*AB49),0)</f>
        <v>16141068</v>
      </c>
      <c r="AC56" s="2284"/>
      <c r="AD56" s="2284"/>
      <c r="AE56" s="2284"/>
      <c r="AF56" s="2285"/>
    </row>
    <row r="57" spans="1:40" ht="12.75" customHeight="1">
      <c r="D57" s="6"/>
      <c r="E57" s="1"/>
      <c r="F57" s="1"/>
      <c r="G57" s="1"/>
      <c r="H57" s="1"/>
      <c r="I57" s="1"/>
      <c r="J57" s="1"/>
      <c r="K57" s="1"/>
      <c r="L57" s="1"/>
      <c r="M57" s="1"/>
      <c r="N57" s="1"/>
      <c r="O57" s="1"/>
      <c r="P57" s="1"/>
      <c r="Q57" s="1"/>
      <c r="R57" s="1"/>
      <c r="S57" s="1"/>
      <c r="T57" s="1"/>
      <c r="U57" s="1"/>
      <c r="V57" s="1"/>
      <c r="W57" s="1"/>
      <c r="X57" s="1"/>
      <c r="Y57" s="1"/>
      <c r="Z57" s="1"/>
      <c r="AA57" s="1"/>
      <c r="AB57" s="425"/>
      <c r="AC57" s="425"/>
      <c r="AD57" s="425"/>
      <c r="AE57" s="425"/>
      <c r="AF57" s="425"/>
      <c r="AG57" s="1"/>
      <c r="AH57" s="1"/>
      <c r="AI57" s="1"/>
      <c r="AJ57" s="1"/>
      <c r="AK57" s="1"/>
      <c r="AL57" s="1"/>
      <c r="AM57" s="1"/>
      <c r="AN57" s="1"/>
    </row>
    <row r="58" spans="1:40" ht="12.75" customHeight="1">
      <c r="D58" s="6" t="s">
        <v>117</v>
      </c>
      <c r="AB58" s="2266">
        <f>AB48-AB56</f>
        <v>0</v>
      </c>
      <c r="AC58" s="2266"/>
      <c r="AD58" s="2266"/>
      <c r="AE58" s="2266"/>
      <c r="AF58" s="2266"/>
    </row>
    <row r="59" spans="1:40" ht="12.75" customHeight="1">
      <c r="D59" s="6"/>
      <c r="F59" s="23" t="str">
        <f>IF(AB58&gt;0,"FUNDING GAP MUST NOT EXCEED ZERO UNLESS REQUESTING STATE CREDITS","")</f>
        <v/>
      </c>
      <c r="G59" s="23"/>
      <c r="I59" s="1107"/>
      <c r="N59" s="23"/>
      <c r="AB59" s="425"/>
      <c r="AC59" s="425"/>
      <c r="AD59" s="425"/>
      <c r="AE59" s="425"/>
      <c r="AF59" s="425"/>
    </row>
    <row r="60" spans="1:40" ht="12.75" customHeight="1" thickBot="1">
      <c r="A60" s="2290" t="s">
        <v>1980</v>
      </c>
      <c r="B60" s="2290"/>
      <c r="C60" s="2290"/>
      <c r="D60" s="2290"/>
      <c r="E60" s="2290"/>
      <c r="F60" s="2290"/>
      <c r="G60" s="2290"/>
      <c r="H60" s="2290"/>
      <c r="I60" s="2290"/>
      <c r="J60" s="2290"/>
      <c r="K60" s="2290"/>
      <c r="L60" s="2290"/>
      <c r="M60" s="2290"/>
      <c r="N60" s="2290"/>
      <c r="O60" s="2290"/>
      <c r="P60" s="2290"/>
      <c r="Q60" s="2290"/>
      <c r="R60" s="2290"/>
      <c r="S60" s="2290"/>
      <c r="T60" s="2290"/>
      <c r="U60" s="2290"/>
      <c r="V60" s="2290"/>
      <c r="W60" s="2290"/>
      <c r="X60" s="2290"/>
      <c r="Y60" s="2290"/>
      <c r="Z60" s="2290"/>
      <c r="AA60" s="2290"/>
      <c r="AB60" s="2290"/>
      <c r="AC60" s="2290"/>
      <c r="AD60" s="2290"/>
      <c r="AE60" s="2290"/>
      <c r="AF60" s="2290"/>
      <c r="AG60" s="2290"/>
      <c r="AH60" s="2290"/>
      <c r="AI60" s="2290"/>
      <c r="AJ60" s="2290"/>
      <c r="AK60" s="2290"/>
      <c r="AL60" s="2290"/>
      <c r="AM60" s="2290"/>
      <c r="AN60" s="2290"/>
    </row>
    <row r="61" spans="1:40" ht="13.65" customHeight="1" thickTop="1">
      <c r="A61" s="2292"/>
      <c r="B61" s="2292"/>
      <c r="C61" s="2292"/>
      <c r="D61" s="2292"/>
      <c r="E61" s="2292"/>
      <c r="F61" s="2292"/>
      <c r="G61" s="2292"/>
      <c r="H61" s="2292"/>
      <c r="I61" s="2292"/>
      <c r="J61" s="2292"/>
      <c r="K61" s="2292"/>
      <c r="L61" s="2292"/>
      <c r="M61" s="2292"/>
      <c r="N61" s="2292"/>
      <c r="O61" s="2292"/>
      <c r="P61" s="2292"/>
      <c r="Q61" s="2292"/>
      <c r="R61" s="2292"/>
      <c r="S61" s="2292"/>
      <c r="T61" s="2292"/>
      <c r="U61" s="2292"/>
      <c r="V61" s="2292"/>
      <c r="W61" s="2292"/>
      <c r="X61" s="2292"/>
      <c r="Y61" s="2292"/>
      <c r="Z61" s="2292"/>
      <c r="AA61" s="2292"/>
      <c r="AB61" s="2292"/>
      <c r="AC61" s="2292"/>
      <c r="AD61" s="2292"/>
      <c r="AE61" s="2292"/>
      <c r="AF61" s="2292"/>
      <c r="AG61" s="2292"/>
      <c r="AH61" s="2292"/>
      <c r="AI61" s="2292"/>
      <c r="AJ61" s="2292"/>
      <c r="AK61" s="2292"/>
      <c r="AL61" s="2292"/>
      <c r="AM61" s="2292"/>
      <c r="AN61" s="2292"/>
    </row>
    <row r="62" spans="1:40" ht="13.2">
      <c r="A62" s="358" t="s">
        <v>134</v>
      </c>
      <c r="B62" s="1"/>
      <c r="C62" s="358" t="s">
        <v>567</v>
      </c>
      <c r="D62" s="1"/>
      <c r="E62" s="1"/>
      <c r="F62" s="1"/>
      <c r="G62" s="1"/>
      <c r="H62" s="1"/>
      <c r="I62" s="1"/>
      <c r="J62" s="1"/>
      <c r="K62" s="1"/>
      <c r="L62" s="1"/>
      <c r="M62" s="1"/>
      <c r="N62" s="1"/>
      <c r="O62" s="1"/>
      <c r="P62" s="1"/>
      <c r="Q62" s="1"/>
      <c r="R62" s="1"/>
      <c r="S62" s="1"/>
      <c r="T62" s="1"/>
      <c r="U62" s="1"/>
      <c r="V62" s="1"/>
      <c r="W62" s="1"/>
      <c r="X62" s="1"/>
      <c r="Y62" s="2293" t="s">
        <v>331</v>
      </c>
      <c r="Z62" s="2293"/>
      <c r="AA62" s="2293"/>
      <c r="AB62" s="2293"/>
      <c r="AC62" s="2293"/>
      <c r="AD62" s="2293" t="s">
        <v>46</v>
      </c>
      <c r="AE62" s="2293"/>
      <c r="AF62" s="2293"/>
      <c r="AG62" s="2293"/>
      <c r="AH62" s="2293"/>
      <c r="AI62" s="1"/>
      <c r="AJ62" s="1"/>
      <c r="AK62" s="1"/>
      <c r="AL62" s="1"/>
      <c r="AM62" s="1"/>
      <c r="AN62" s="1"/>
    </row>
    <row r="63" spans="1:40" ht="13.2">
      <c r="C63" s="330"/>
      <c r="D63" s="801" t="s">
        <v>1376</v>
      </c>
      <c r="E63" s="802"/>
      <c r="F63" s="802"/>
      <c r="G63" s="802"/>
      <c r="H63" s="802"/>
      <c r="I63" s="802"/>
      <c r="J63" s="802"/>
      <c r="K63" s="802"/>
      <c r="L63" s="22"/>
      <c r="M63" s="22"/>
      <c r="N63" s="22"/>
      <c r="O63" s="22"/>
      <c r="P63" s="22"/>
      <c r="Q63" s="22"/>
      <c r="R63" s="22"/>
      <c r="S63" s="22"/>
      <c r="T63" s="22"/>
      <c r="U63" s="22"/>
      <c r="V63" s="22"/>
      <c r="W63" s="22"/>
      <c r="X63" s="22"/>
      <c r="Y63" s="2238">
        <f>IF(AND(Application!T193="No",Application!T194="No"),T28,IF(OR(AND(T25=1.3,Application!T196="Yes",Application!D214="Special Needs"),T25=1),(T23*T27)+Y28,Y28))</f>
        <v>21542965.600000001</v>
      </c>
      <c r="Z63" s="2276"/>
      <c r="AA63" s="2276"/>
      <c r="AB63" s="2276"/>
      <c r="AC63" s="2276"/>
      <c r="AD63" s="1993">
        <f>IF(AND(T25=1.3,Application!D214="At-Risk"),AI28,IF(Application!D214&lt;&gt;"At-Risk",0,AD28))</f>
        <v>0</v>
      </c>
      <c r="AE63" s="2276"/>
      <c r="AF63" s="2276"/>
      <c r="AG63" s="2276"/>
      <c r="AH63" s="2276"/>
    </row>
    <row r="64" spans="1:40" ht="15" customHeight="1">
      <c r="C64" s="6"/>
      <c r="E64" s="2291" t="s">
        <v>1427</v>
      </c>
      <c r="F64" s="2291"/>
      <c r="G64" s="2291"/>
      <c r="H64" s="2291"/>
      <c r="I64" s="2291"/>
      <c r="J64" s="2291"/>
      <c r="K64" s="2291"/>
      <c r="L64" s="2291"/>
      <c r="M64" s="2291"/>
      <c r="N64" s="2291"/>
      <c r="O64" s="2291"/>
      <c r="P64" s="2291"/>
      <c r="Q64" s="2291"/>
      <c r="R64" s="2291"/>
      <c r="S64" s="2291"/>
      <c r="T64" s="2291"/>
      <c r="U64" s="2291"/>
      <c r="V64" s="2291"/>
      <c r="W64" s="2291"/>
      <c r="X64" s="2291"/>
      <c r="Y64" s="2291"/>
      <c r="Z64" s="2291"/>
      <c r="AA64" s="2291"/>
      <c r="AB64" s="2291"/>
      <c r="AC64" s="2291"/>
      <c r="AD64" s="2291"/>
      <c r="AE64" s="2291"/>
      <c r="AF64" s="2291"/>
      <c r="AG64" s="2291"/>
      <c r="AH64" s="2291"/>
    </row>
    <row r="65" spans="1:40" ht="24.6" customHeight="1">
      <c r="C65" s="6"/>
      <c r="E65" s="2291"/>
      <c r="F65" s="2291"/>
      <c r="G65" s="2291"/>
      <c r="H65" s="2291"/>
      <c r="I65" s="2291"/>
      <c r="J65" s="2291"/>
      <c r="K65" s="2291"/>
      <c r="L65" s="2291"/>
      <c r="M65" s="2291"/>
      <c r="N65" s="2291"/>
      <c r="O65" s="2291"/>
      <c r="P65" s="2291"/>
      <c r="Q65" s="2291"/>
      <c r="R65" s="2291"/>
      <c r="S65" s="2291"/>
      <c r="T65" s="2291"/>
      <c r="U65" s="2291"/>
      <c r="V65" s="2291"/>
      <c r="W65" s="2291"/>
      <c r="X65" s="2291"/>
      <c r="Y65" s="2291"/>
      <c r="Z65" s="2291"/>
      <c r="AA65" s="2291"/>
      <c r="AB65" s="2291"/>
      <c r="AC65" s="2291"/>
      <c r="AD65" s="2291"/>
      <c r="AE65" s="2291"/>
      <c r="AF65" s="2291"/>
      <c r="AG65" s="2291"/>
      <c r="AH65" s="2291"/>
    </row>
    <row r="66" spans="1:40" ht="13.2">
      <c r="C66" s="6"/>
      <c r="D66" s="6" t="s">
        <v>219</v>
      </c>
      <c r="E66" s="276"/>
      <c r="F66" s="276"/>
      <c r="G66" s="276"/>
      <c r="H66" s="276"/>
      <c r="I66" s="276"/>
      <c r="J66" s="276"/>
      <c r="K66" s="276"/>
      <c r="L66" s="276"/>
      <c r="M66" s="276"/>
      <c r="N66" s="276"/>
      <c r="O66" s="276"/>
      <c r="P66" s="276"/>
      <c r="Q66" s="276"/>
      <c r="R66" s="276"/>
      <c r="S66" s="276"/>
      <c r="T66" s="276"/>
      <c r="U66" s="276"/>
      <c r="V66" s="276"/>
      <c r="W66" s="276"/>
      <c r="X66" s="276"/>
      <c r="Y66" s="2272">
        <f>IF(Application!W198="Yes",95%, 30%)</f>
        <v>0.3</v>
      </c>
      <c r="Z66" s="2272"/>
      <c r="AA66" s="2272"/>
      <c r="AB66" s="2272"/>
      <c r="AC66" s="2272"/>
      <c r="AD66" s="2272">
        <f>IF(Application!W198="Yes",95%, 13%)</f>
        <v>0.13</v>
      </c>
      <c r="AE66" s="2272"/>
      <c r="AF66" s="2272"/>
      <c r="AG66" s="2272"/>
      <c r="AH66" s="2272"/>
    </row>
    <row r="67" spans="1:40" ht="13.2">
      <c r="C67" s="6"/>
      <c r="D67" s="6" t="s">
        <v>1045</v>
      </c>
      <c r="Y67" s="1993">
        <f>ROUND(Y63*Y66,0)</f>
        <v>6462890</v>
      </c>
      <c r="Z67" s="2276"/>
      <c r="AA67" s="2276"/>
      <c r="AB67" s="2276"/>
      <c r="AC67" s="2276"/>
      <c r="AD67" s="1993" t="str">
        <f>IF(OR(Application!D211="At-Risk",Application!D211="At-Risk/Located in Rural Census Tract",Application!D214="At-Risk"),ROUND(AD63*AD66,0),"$0")</f>
        <v>$0</v>
      </c>
      <c r="AE67" s="2277"/>
      <c r="AF67" s="2277"/>
      <c r="AG67" s="2277"/>
      <c r="AH67" s="2277"/>
    </row>
    <row r="68" spans="1:40" ht="12.75" customHeight="1">
      <c r="C68" s="6"/>
      <c r="E68" s="1360" t="s">
        <v>2185</v>
      </c>
      <c r="F68" s="1362"/>
      <c r="G68" s="1359"/>
      <c r="H68" s="1359"/>
      <c r="I68" s="1359"/>
      <c r="J68" s="1359"/>
      <c r="K68" s="1359"/>
      <c r="L68" s="1359"/>
      <c r="M68" s="1359"/>
      <c r="N68" s="1359"/>
      <c r="O68" s="1359"/>
      <c r="P68" s="1359"/>
      <c r="Q68" s="1359"/>
      <c r="R68" s="1359"/>
      <c r="S68" s="1359"/>
      <c r="T68" s="1359"/>
      <c r="U68" s="1359"/>
      <c r="V68" s="1359"/>
      <c r="W68" s="1359"/>
      <c r="X68" s="1359"/>
      <c r="Y68" s="1359"/>
      <c r="Z68" s="1359"/>
      <c r="AA68" s="1359"/>
      <c r="AB68" s="1359"/>
      <c r="AC68" s="1359"/>
      <c r="AD68" s="1359"/>
      <c r="AE68" s="1359"/>
      <c r="AF68" s="1359"/>
      <c r="AG68" s="1359"/>
      <c r="AH68" s="1359"/>
    </row>
    <row r="69" spans="1:40" ht="13.2">
      <c r="A69" s="6" t="s">
        <v>135</v>
      </c>
      <c r="C69" s="6" t="s">
        <v>283</v>
      </c>
      <c r="E69" s="1359"/>
      <c r="F69" s="1359"/>
      <c r="G69" s="1359"/>
      <c r="H69" s="1359"/>
      <c r="I69" s="1359"/>
      <c r="J69" s="1359"/>
      <c r="K69" s="1359"/>
      <c r="L69" s="1359"/>
      <c r="M69" s="1359"/>
      <c r="N69" s="1359"/>
      <c r="O69" s="1359"/>
      <c r="P69" s="1359"/>
      <c r="Q69" s="1359"/>
      <c r="R69" s="1359"/>
      <c r="S69" s="1359"/>
      <c r="T69" s="1359"/>
      <c r="U69" s="1359"/>
      <c r="V69" s="1359"/>
      <c r="W69" s="1359"/>
      <c r="X69" s="1359"/>
      <c r="Y69" s="1359"/>
      <c r="Z69" s="1359"/>
      <c r="AA69" s="1359"/>
      <c r="AB69" s="1359"/>
      <c r="AC69" s="1359"/>
      <c r="AD69" s="1359"/>
      <c r="AE69" s="1359"/>
      <c r="AF69" s="1359"/>
      <c r="AG69" s="1359"/>
      <c r="AH69" s="1359"/>
    </row>
    <row r="70" spans="1:40" ht="13.2">
      <c r="A70" s="330"/>
      <c r="B70" s="2"/>
      <c r="C70" s="330"/>
      <c r="D70" s="330" t="s">
        <v>959</v>
      </c>
      <c r="E70" s="2"/>
      <c r="F70" s="2"/>
      <c r="G70" s="2"/>
      <c r="H70" s="2"/>
      <c r="I70" s="2"/>
      <c r="J70" s="2"/>
      <c r="K70" s="2"/>
      <c r="L70" s="2"/>
      <c r="M70" s="2"/>
      <c r="N70" s="2"/>
      <c r="O70" s="2"/>
      <c r="P70" s="2"/>
      <c r="Q70" s="2"/>
      <c r="R70" s="2"/>
      <c r="S70" s="2"/>
      <c r="T70" s="2"/>
      <c r="U70" s="2"/>
      <c r="V70" s="2"/>
      <c r="W70" s="2"/>
      <c r="X70" s="2"/>
      <c r="Y70" s="2"/>
      <c r="Z70" s="2"/>
      <c r="AA70" s="2"/>
      <c r="AB70" s="2273"/>
      <c r="AC70" s="2274"/>
      <c r="AD70" s="2274"/>
      <c r="AE70" s="2274"/>
      <c r="AF70" s="2275"/>
      <c r="AG70" s="2"/>
      <c r="AH70" s="2"/>
      <c r="AI70" s="2"/>
      <c r="AJ70" s="2"/>
      <c r="AK70" s="2"/>
      <c r="AL70" s="2"/>
      <c r="AM70" s="2"/>
      <c r="AN70" s="2"/>
    </row>
    <row r="71" spans="1:40" ht="12.75" customHeight="1">
      <c r="A71" s="330"/>
      <c r="B71" s="2"/>
      <c r="C71" s="330"/>
      <c r="D71" s="330"/>
      <c r="E71" s="2278" t="s">
        <v>1975</v>
      </c>
      <c r="F71" s="2278"/>
      <c r="G71" s="2278"/>
      <c r="H71" s="2278"/>
      <c r="I71" s="2278"/>
      <c r="J71" s="2278"/>
      <c r="K71" s="2278"/>
      <c r="L71" s="2278"/>
      <c r="M71" s="2278"/>
      <c r="N71" s="2278"/>
      <c r="O71" s="2278"/>
      <c r="P71" s="2278"/>
      <c r="Q71" s="2278"/>
      <c r="R71" s="2278"/>
      <c r="S71" s="2278"/>
      <c r="T71" s="2278"/>
      <c r="U71" s="2278"/>
      <c r="V71" s="2278"/>
      <c r="W71" s="2278"/>
      <c r="X71" s="2278"/>
      <c r="Y71" s="2278"/>
      <c r="Z71" s="2278"/>
      <c r="AA71" s="803"/>
      <c r="AB71" s="803"/>
      <c r="AC71" s="803"/>
      <c r="AG71" s="2"/>
      <c r="AH71" s="2"/>
      <c r="AI71" s="2"/>
      <c r="AJ71" s="2"/>
      <c r="AK71" s="2"/>
      <c r="AL71" s="2"/>
      <c r="AM71" s="2"/>
      <c r="AN71" s="2"/>
    </row>
    <row r="72" spans="1:40" ht="12.75" customHeight="1">
      <c r="A72" s="330"/>
      <c r="B72" s="2"/>
      <c r="C72" s="330"/>
      <c r="D72" s="330"/>
      <c r="E72" s="2278"/>
      <c r="F72" s="2278"/>
      <c r="G72" s="2278"/>
      <c r="H72" s="2278"/>
      <c r="I72" s="2278"/>
      <c r="J72" s="2278"/>
      <c r="K72" s="2278"/>
      <c r="L72" s="2278"/>
      <c r="M72" s="2278"/>
      <c r="N72" s="2278"/>
      <c r="O72" s="2278"/>
      <c r="P72" s="2278"/>
      <c r="Q72" s="2278"/>
      <c r="R72" s="2278"/>
      <c r="S72" s="2278"/>
      <c r="T72" s="2278"/>
      <c r="U72" s="2278"/>
      <c r="V72" s="2278"/>
      <c r="W72" s="2278"/>
      <c r="X72" s="2278"/>
      <c r="Y72" s="2278"/>
      <c r="Z72" s="2278"/>
      <c r="AA72" s="803"/>
      <c r="AB72" s="803"/>
      <c r="AC72" s="803"/>
      <c r="AD72" s="1088"/>
      <c r="AE72" s="1088"/>
      <c r="AF72" s="1088"/>
      <c r="AG72" s="2"/>
      <c r="AH72" s="2"/>
      <c r="AI72" s="2"/>
      <c r="AJ72" s="2"/>
      <c r="AK72" s="2"/>
      <c r="AL72" s="2"/>
      <c r="AM72" s="2"/>
      <c r="AN72" s="2"/>
    </row>
    <row r="73" spans="1:40" ht="12" customHeight="1">
      <c r="A73" s="330"/>
      <c r="B73" s="2"/>
      <c r="C73" s="330"/>
      <c r="D73" s="330"/>
      <c r="E73" s="2278"/>
      <c r="F73" s="2278"/>
      <c r="G73" s="2278"/>
      <c r="H73" s="2278"/>
      <c r="I73" s="2278"/>
      <c r="J73" s="2278"/>
      <c r="K73" s="2278"/>
      <c r="L73" s="2278"/>
      <c r="M73" s="2278"/>
      <c r="N73" s="2278"/>
      <c r="O73" s="2278"/>
      <c r="P73" s="2278"/>
      <c r="Q73" s="2278"/>
      <c r="R73" s="2278"/>
      <c r="S73" s="2278"/>
      <c r="T73" s="2278"/>
      <c r="U73" s="2278"/>
      <c r="V73" s="2278"/>
      <c r="W73" s="2278"/>
      <c r="X73" s="2278"/>
      <c r="Y73" s="2278"/>
      <c r="Z73" s="2278"/>
      <c r="AA73" s="803"/>
      <c r="AB73" s="803"/>
      <c r="AC73" s="803"/>
      <c r="AD73" s="426"/>
      <c r="AE73" s="426"/>
      <c r="AF73" s="426"/>
      <c r="AG73" s="2"/>
      <c r="AH73" s="2"/>
      <c r="AI73" s="2"/>
      <c r="AJ73" s="2"/>
      <c r="AK73" s="2"/>
      <c r="AL73" s="2"/>
      <c r="AM73" s="2"/>
      <c r="AN73" s="2"/>
    </row>
    <row r="74" spans="1:40" ht="12" customHeight="1">
      <c r="A74" s="330"/>
      <c r="B74" s="2"/>
      <c r="C74" s="330"/>
      <c r="D74" s="330"/>
      <c r="E74" s="517"/>
      <c r="F74" s="517"/>
      <c r="G74" s="517"/>
      <c r="H74" s="517"/>
      <c r="I74" s="517"/>
      <c r="J74" s="517"/>
      <c r="K74" s="517"/>
      <c r="L74" s="517"/>
      <c r="M74" s="517"/>
      <c r="N74" s="517"/>
      <c r="O74" s="517"/>
      <c r="P74" s="517"/>
      <c r="Q74" s="517"/>
      <c r="R74" s="517"/>
      <c r="S74" s="517"/>
      <c r="T74" s="517"/>
      <c r="U74" s="517"/>
      <c r="V74" s="517"/>
      <c r="W74" s="517"/>
      <c r="X74" s="517"/>
      <c r="Y74" s="517"/>
      <c r="Z74" s="517"/>
      <c r="AA74" s="13"/>
      <c r="AG74" s="2"/>
      <c r="AH74" s="2"/>
      <c r="AI74" s="2"/>
      <c r="AJ74" s="2"/>
      <c r="AK74" s="2"/>
      <c r="AL74" s="2"/>
      <c r="AM74" s="2"/>
      <c r="AN74" s="2"/>
    </row>
    <row r="75" spans="1:40" ht="12" customHeight="1">
      <c r="C75" s="6"/>
      <c r="D75" s="6" t="s">
        <v>115</v>
      </c>
      <c r="AB75" s="2271">
        <f>ROUND(IF(ISERROR((AB58/AB70)),0,(AB58/AB70)),0)</f>
        <v>0</v>
      </c>
      <c r="AC75" s="2271"/>
      <c r="AD75" s="2271"/>
      <c r="AE75" s="2271"/>
      <c r="AF75" s="2271"/>
    </row>
    <row r="76" spans="1:40" ht="12.75" customHeight="1">
      <c r="C76" s="6"/>
      <c r="D76" s="6" t="s">
        <v>116</v>
      </c>
      <c r="AB76" s="2268">
        <f>IF((Y67+AD67&lt;AB75),Y67+AD67,AB75)</f>
        <v>0</v>
      </c>
      <c r="AC76" s="2269"/>
      <c r="AD76" s="2269"/>
      <c r="AE76" s="2269"/>
      <c r="AF76" s="2270"/>
    </row>
    <row r="77" spans="1:40" ht="12.75" customHeight="1">
      <c r="C77" s="6"/>
      <c r="D77" s="6" t="s">
        <v>1046</v>
      </c>
      <c r="AB77" s="2267">
        <f>AB76*AB70</f>
        <v>0</v>
      </c>
      <c r="AC77" s="2267"/>
      <c r="AD77" s="2267"/>
      <c r="AE77" s="2267"/>
      <c r="AF77" s="2267"/>
    </row>
    <row r="78" spans="1:40" ht="12.75" customHeight="1">
      <c r="C78" s="6"/>
      <c r="D78" s="6"/>
      <c r="AB78" s="934"/>
      <c r="AC78" s="934"/>
      <c r="AD78" s="934"/>
      <c r="AE78" s="934"/>
      <c r="AF78" s="934"/>
    </row>
    <row r="79" spans="1:40" ht="12.75" customHeight="1">
      <c r="A79" s="1"/>
      <c r="B79" s="1"/>
      <c r="C79" s="1"/>
      <c r="D79" s="6" t="s">
        <v>117</v>
      </c>
      <c r="AB79" s="2266">
        <f>AB48-(AB56+AB77)</f>
        <v>0</v>
      </c>
      <c r="AC79" s="2266"/>
      <c r="AD79" s="2266"/>
      <c r="AE79" s="2266"/>
      <c r="AF79" s="2266"/>
      <c r="AG79" s="1"/>
      <c r="AH79" s="1"/>
      <c r="AI79" s="1"/>
      <c r="AJ79" s="1"/>
      <c r="AK79" s="1"/>
      <c r="AL79" s="1"/>
      <c r="AM79" s="1"/>
      <c r="AN79" s="1"/>
    </row>
    <row r="80" spans="1:40" ht="12.75" customHeight="1">
      <c r="A80" s="1"/>
      <c r="B80" s="1"/>
      <c r="C80" s="1"/>
      <c r="D80" s="1"/>
      <c r="F80" s="23"/>
      <c r="J80" s="23" t="str">
        <f>IF(AB79&gt;0,"FUNDING GAP MUST NOT EXCEED ZERO","")</f>
        <v/>
      </c>
      <c r="AB80" s="1"/>
      <c r="AC80" s="1"/>
      <c r="AD80" s="1"/>
      <c r="AE80" s="1"/>
      <c r="AF80" s="1"/>
      <c r="AG80" s="1"/>
      <c r="AH80" s="1"/>
      <c r="AI80" s="1"/>
      <c r="AJ80" s="1"/>
      <c r="AK80" s="1"/>
      <c r="AL80" s="1"/>
      <c r="AM80" s="1"/>
      <c r="AN80" s="1"/>
    </row>
    <row r="81" spans="1:40" ht="12.75" customHeight="1">
      <c r="A81" s="1"/>
      <c r="B81" s="1"/>
      <c r="C81" s="1"/>
      <c r="D81" s="431"/>
      <c r="AB81" s="1"/>
      <c r="AC81" s="1"/>
      <c r="AD81" s="1"/>
      <c r="AE81" s="1"/>
      <c r="AF81" s="1"/>
      <c r="AG81" s="1"/>
      <c r="AH81" s="1"/>
      <c r="AI81" s="1"/>
      <c r="AJ81" s="1"/>
      <c r="AK81" s="1"/>
      <c r="AL81" s="1"/>
      <c r="AM81" s="1"/>
      <c r="AN81" s="1"/>
    </row>
  </sheetData>
  <sheetProtection algorithmName="SHA-512" hashValue="wbYYWwLTr25k0TfSEvrMFTfDrW7f77Wz07xY18eFaq47icMSWevEFaePC3DpTOoHOlIO1NTImAqRTjCWT9TjSw==" saltValue="G8Ul6TMOU/rln05zfVHgXw=="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7" right="0.7" top="0.75" bottom="0.75" header="0.3" footer="0.3"/>
      <pageSetup scale="98" firstPageNumber="24" orientation="portrait" useFirstPageNumber="1"/>
      <headerFooter alignWithMargins="0">
        <oddFooter>&amp;L&amp;8April 18, 2016 Version&amp;C&amp;P&amp;R&amp;8&amp;A &amp;D</oddFooter>
      </headerFooter>
    </customSheetView>
  </customSheetViews>
  <mergeCells count="137">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B24:S24"/>
    <mergeCell ref="B25:S25"/>
    <mergeCell ref="B26:S26"/>
    <mergeCell ref="B27:S27"/>
    <mergeCell ref="AD27:AH27"/>
    <mergeCell ref="B28:S28"/>
    <mergeCell ref="B29:S29"/>
    <mergeCell ref="C18:S18"/>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s>
  <phoneticPr fontId="22" type="noConversion"/>
  <conditionalFormatting sqref="AB79:AF79 AB58:AF59">
    <cfRule type="cellIs" dxfId="5" priority="3" stopIfTrue="1" operator="greaterThan">
      <formula>0</formula>
    </cfRule>
  </conditionalFormatting>
  <dataValidations count="3">
    <dataValidation type="decimal" allowBlank="1" showInputMessage="1" showErrorMessage="1" errorTitle="State Tax Credit Factor" error="State Tax Credit Factor must be within stated range." sqref="AB70:AF70">
      <formula1>0.7</formula1>
      <formula2>1.25</formula2>
    </dataValidation>
    <dataValidation type="decimal" allowBlank="1" showInputMessage="1" showErrorMessage="1" errorTitle="Federal Tax Credit Factor" error="Federal Tax Credit Factor must be within stated range." sqref="AB49:AF49">
      <formula1>0.8</formula1>
      <formula2>1.35</formula2>
    </dataValidation>
    <dataValidation type="whole" operator="greaterThanOrEqual" allowBlank="1" showInputMessage="1" showErrorMessage="1" sqref="T13:AM19 T21:AM21">
      <formula1>0</formula1>
    </dataValidation>
  </dataValidations>
  <pageMargins left="0.5" right="0.5" top="1" bottom="1" header="0.5" footer="0.5"/>
  <pageSetup scale="96" firstPageNumber="24" orientation="portrait" useFirstPageNumber="1"/>
  <headerFooter alignWithMargins="0">
    <oddFooter>&amp;C&amp;P&amp;R&amp;8&amp;A</oddFooter>
  </headerFooter>
  <rowBreaks count="1" manualBreakCount="1">
    <brk id="43" max="39" man="1"/>
  </rowBreaks>
  <legacy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8"/>
  <dimension ref="A1:XFD881"/>
  <sheetViews>
    <sheetView showGridLines="0" topLeftCell="A438" zoomScale="120" zoomScaleNormal="120" zoomScaleSheetLayoutView="100" zoomScalePageLayoutView="120" workbookViewId="0">
      <selection activeCell="L455" sqref="L455"/>
    </sheetView>
  </sheetViews>
  <sheetFormatPr defaultColWidth="0" defaultRowHeight="13.2" zeroHeight="1"/>
  <cols>
    <col min="1" max="3" width="2.44140625" style="65" customWidth="1"/>
    <col min="4" max="4" width="3.109375" style="65" customWidth="1"/>
    <col min="5" max="5" width="3.44140625" style="65" customWidth="1"/>
    <col min="6" max="6" width="2.88671875" style="65" customWidth="1"/>
    <col min="7" max="16" width="2.44140625" style="65" customWidth="1"/>
    <col min="17" max="17" width="3.109375" style="65" customWidth="1"/>
    <col min="18" max="18" width="4.44140625" style="65" customWidth="1"/>
    <col min="19" max="32" width="2.44140625" style="65" customWidth="1"/>
    <col min="33" max="33" width="3.44140625" style="65" customWidth="1"/>
    <col min="34" max="36" width="2.44140625" style="65" customWidth="1"/>
    <col min="37" max="37" width="5.44140625" style="65" customWidth="1"/>
    <col min="38" max="38" width="2.44140625" style="65" customWidth="1"/>
    <col min="39" max="39" width="3.44140625" style="65" customWidth="1"/>
    <col min="40" max="40" width="5.44140625" style="1135" hidden="1" customWidth="1"/>
    <col min="41" max="41" width="5.44140625" style="132" hidden="1" customWidth="1"/>
    <col min="42" max="55" width="5.44140625" style="65" hidden="1" customWidth="1"/>
    <col min="56" max="60" width="5.44140625" style="68" hidden="1" customWidth="1"/>
    <col min="61" max="109" width="5.44140625" style="65" hidden="1" customWidth="1"/>
    <col min="110" max="16384" width="0" style="65" hidden="1"/>
  </cols>
  <sheetData>
    <row r="1" spans="1:42" ht="15.75" customHeight="1">
      <c r="A1" s="2091" t="s">
        <v>928</v>
      </c>
      <c r="B1" s="2091"/>
      <c r="C1" s="2091"/>
      <c r="D1" s="2091"/>
      <c r="E1" s="2091"/>
      <c r="F1" s="2091"/>
      <c r="G1" s="2091"/>
      <c r="H1" s="2091"/>
      <c r="I1" s="2091"/>
      <c r="J1" s="2091"/>
      <c r="K1" s="2091"/>
      <c r="L1" s="2091"/>
      <c r="M1" s="2091"/>
      <c r="N1" s="2091"/>
      <c r="O1" s="2091"/>
      <c r="P1" s="2091"/>
      <c r="Q1" s="2091"/>
      <c r="R1" s="2091"/>
      <c r="S1" s="2091"/>
      <c r="T1" s="2091"/>
      <c r="U1" s="2091"/>
      <c r="V1" s="2091"/>
      <c r="W1" s="2091"/>
      <c r="X1" s="2091"/>
      <c r="Y1" s="2091"/>
      <c r="Z1" s="2091"/>
      <c r="AA1" s="2091"/>
      <c r="AB1" s="2091"/>
      <c r="AC1" s="2091"/>
      <c r="AD1" s="2091"/>
      <c r="AE1" s="2091"/>
      <c r="AF1" s="2091"/>
      <c r="AG1" s="2091"/>
      <c r="AH1" s="2091"/>
      <c r="AI1" s="2091"/>
      <c r="AJ1" s="2091"/>
      <c r="AK1" s="2091"/>
      <c r="AL1" s="2091"/>
      <c r="AM1" s="2091"/>
    </row>
    <row r="2" spans="1:42" s="8" customFormat="1" ht="12.75" customHeight="1" thickBot="1">
      <c r="A2" s="2092"/>
      <c r="B2" s="2092"/>
      <c r="C2" s="2092"/>
      <c r="D2" s="2092"/>
      <c r="E2" s="2092"/>
      <c r="F2" s="2092"/>
      <c r="G2" s="2092"/>
      <c r="H2" s="2092"/>
      <c r="I2" s="2092"/>
      <c r="J2" s="2092"/>
      <c r="K2" s="2092"/>
      <c r="L2" s="2092"/>
      <c r="M2" s="2092"/>
      <c r="N2" s="2092"/>
      <c r="O2" s="2092"/>
      <c r="P2" s="2092"/>
      <c r="Q2" s="2092"/>
      <c r="R2" s="2092"/>
      <c r="S2" s="2092"/>
      <c r="T2" s="2092"/>
      <c r="U2" s="2092"/>
      <c r="V2" s="2092"/>
      <c r="W2" s="2092"/>
      <c r="X2" s="2092"/>
      <c r="Y2" s="2092"/>
      <c r="Z2" s="2092"/>
      <c r="AA2" s="2092"/>
      <c r="AB2" s="2092"/>
      <c r="AC2" s="2092"/>
      <c r="AD2" s="2092"/>
      <c r="AE2" s="2092"/>
      <c r="AF2" s="2092"/>
      <c r="AG2" s="2092"/>
      <c r="AH2" s="2092"/>
      <c r="AI2" s="2092"/>
      <c r="AJ2" s="2092"/>
      <c r="AK2" s="2092"/>
      <c r="AL2" s="2092"/>
      <c r="AM2" s="2092"/>
      <c r="AN2" s="1136"/>
    </row>
    <row r="3" spans="1:42" s="63" customFormat="1" ht="12.75" customHeight="1" thickTop="1">
      <c r="A3" s="71"/>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c r="AF3" s="71"/>
      <c r="AG3" s="71"/>
      <c r="AH3" s="71"/>
      <c r="AI3" s="71"/>
      <c r="AJ3" s="71"/>
      <c r="AK3" s="74"/>
      <c r="AL3" s="74"/>
      <c r="AM3" s="74"/>
      <c r="AN3" s="1137"/>
    </row>
    <row r="4" spans="1:42" s="63" customFormat="1" ht="12.75" customHeight="1">
      <c r="A4" s="142" t="s">
        <v>1634</v>
      </c>
      <c r="AE4" s="2485" t="s">
        <v>408</v>
      </c>
      <c r="AF4" s="2485"/>
      <c r="AG4" s="2485"/>
      <c r="AH4" s="2485"/>
      <c r="AI4" s="2485"/>
      <c r="AJ4" s="2485"/>
      <c r="AK4" s="2485"/>
      <c r="AL4" s="1305"/>
      <c r="AM4" s="48"/>
      <c r="AN4" s="1137"/>
    </row>
    <row r="5" spans="1:42" s="63" customFormat="1" ht="12.9" customHeight="1">
      <c r="A5" s="142"/>
      <c r="AE5" s="33"/>
      <c r="AF5" s="33"/>
      <c r="AG5" s="33"/>
      <c r="AH5" s="33"/>
      <c r="AI5" s="33"/>
      <c r="AJ5" s="33"/>
      <c r="AK5" s="33"/>
      <c r="AL5" s="1305"/>
      <c r="AM5" s="48"/>
      <c r="AN5" s="1137"/>
    </row>
    <row r="6" spans="1:42" s="8" customFormat="1" ht="12.75" customHeight="1">
      <c r="A6" s="142"/>
      <c r="B6" s="142" t="s">
        <v>1635</v>
      </c>
      <c r="C6" s="63"/>
      <c r="D6" s="63"/>
      <c r="E6" s="63"/>
      <c r="F6" s="63"/>
      <c r="G6" s="63"/>
      <c r="H6" s="63"/>
      <c r="I6" s="63"/>
      <c r="J6" s="63"/>
      <c r="K6" s="63"/>
      <c r="L6" s="63"/>
      <c r="M6" s="63"/>
      <c r="N6" s="63"/>
      <c r="O6" s="63"/>
      <c r="P6" s="63"/>
      <c r="Q6" s="63"/>
      <c r="R6" s="63"/>
      <c r="S6" s="63"/>
      <c r="T6" s="63"/>
      <c r="U6" s="63"/>
      <c r="V6" s="63"/>
      <c r="W6" s="63"/>
      <c r="X6" s="63"/>
      <c r="Y6" s="63"/>
      <c r="Z6" s="63"/>
      <c r="AA6" s="63"/>
      <c r="AB6" s="63"/>
      <c r="AC6" s="63"/>
      <c r="AD6" s="63"/>
      <c r="AF6" s="2378" t="s">
        <v>937</v>
      </c>
      <c r="AG6" s="2378"/>
      <c r="AH6" s="2378"/>
      <c r="AI6" s="2378"/>
      <c r="AJ6" s="2378"/>
      <c r="AK6" s="2378"/>
      <c r="AL6" s="2378"/>
      <c r="AM6" s="48"/>
      <c r="AN6" s="1136"/>
    </row>
    <row r="7" spans="1:42" s="8" customFormat="1" ht="12.75" customHeight="1">
      <c r="A7" s="142"/>
      <c r="B7" s="106" t="s">
        <v>698</v>
      </c>
      <c r="C7" s="59"/>
      <c r="D7" s="59"/>
      <c r="E7" s="59"/>
      <c r="F7" s="59"/>
      <c r="G7" s="59"/>
      <c r="H7" s="59"/>
      <c r="I7" s="59"/>
      <c r="J7" s="59"/>
      <c r="K7" s="59"/>
      <c r="L7" s="59"/>
      <c r="M7" s="59"/>
      <c r="N7" s="59"/>
      <c r="O7" s="59"/>
      <c r="P7" s="59"/>
      <c r="Q7" s="59"/>
      <c r="R7" s="59"/>
      <c r="S7" s="59"/>
      <c r="T7" s="59"/>
      <c r="U7" s="59"/>
      <c r="V7" s="59"/>
      <c r="W7" s="59"/>
      <c r="X7" s="59"/>
      <c r="Y7" s="59"/>
      <c r="Z7" s="59"/>
      <c r="AA7" s="59"/>
      <c r="AB7" s="59"/>
      <c r="AC7" s="59"/>
      <c r="AD7" s="63"/>
      <c r="AL7" s="1304"/>
      <c r="AM7" s="48"/>
      <c r="AN7" s="1136"/>
    </row>
    <row r="8" spans="1:42" s="8" customFormat="1" ht="15" customHeight="1">
      <c r="A8" s="142"/>
      <c r="B8" s="2472" t="s">
        <v>2346</v>
      </c>
      <c r="C8" s="2472"/>
      <c r="D8" s="2472"/>
      <c r="E8" s="2472"/>
      <c r="F8" s="2472"/>
      <c r="G8" s="2472"/>
      <c r="H8" s="2472"/>
      <c r="I8" s="2472"/>
      <c r="J8" s="2472"/>
      <c r="K8" s="2472"/>
      <c r="L8" s="2472"/>
      <c r="M8" s="2472"/>
      <c r="N8" s="2472"/>
      <c r="O8" s="2472"/>
      <c r="P8" s="2472"/>
      <c r="Q8" s="2472"/>
      <c r="R8" s="2472"/>
      <c r="S8" s="2472"/>
      <c r="T8" s="2472"/>
      <c r="U8" s="2472"/>
      <c r="V8" s="2472"/>
      <c r="W8" s="2472"/>
      <c r="X8" s="2472"/>
      <c r="Y8" s="2472"/>
      <c r="Z8" s="2472"/>
      <c r="AA8" s="2472"/>
      <c r="AB8" s="2472"/>
      <c r="AC8" s="2472"/>
      <c r="AD8" s="63"/>
      <c r="AE8" s="179"/>
      <c r="AF8" s="179"/>
      <c r="AG8" s="179"/>
      <c r="AH8" s="179"/>
      <c r="AI8" s="179"/>
      <c r="AJ8" s="179"/>
      <c r="AK8" s="179"/>
      <c r="AL8" s="1304"/>
      <c r="AM8" s="48"/>
      <c r="AN8" s="1136"/>
      <c r="AO8" s="71"/>
      <c r="AP8" s="536"/>
    </row>
    <row r="9" spans="1:42" s="136" customFormat="1" ht="12.75" customHeight="1">
      <c r="A9" s="142"/>
      <c r="B9" s="142"/>
      <c r="C9" s="63"/>
      <c r="D9" s="63"/>
      <c r="E9" s="63"/>
      <c r="F9" s="63"/>
      <c r="G9" s="63"/>
      <c r="H9" s="63"/>
      <c r="I9" s="63"/>
      <c r="J9" s="63"/>
      <c r="K9" s="63"/>
      <c r="L9" s="63"/>
      <c r="M9" s="63"/>
      <c r="N9" s="63"/>
      <c r="O9" s="63"/>
      <c r="P9" s="63"/>
      <c r="Q9" s="63"/>
      <c r="R9" s="63"/>
      <c r="S9" s="63"/>
      <c r="T9" s="63"/>
      <c r="U9" s="63"/>
      <c r="V9" s="63"/>
      <c r="W9" s="63"/>
      <c r="X9" s="63"/>
      <c r="Y9" s="63"/>
      <c r="Z9" s="63"/>
      <c r="AA9" s="63"/>
      <c r="AB9" s="63"/>
      <c r="AC9" s="63"/>
      <c r="AD9" s="63"/>
      <c r="AE9" s="179"/>
      <c r="AF9" s="179"/>
      <c r="AG9" s="179"/>
      <c r="AH9" s="179"/>
      <c r="AI9" s="179"/>
      <c r="AJ9" s="179"/>
      <c r="AK9" s="179"/>
      <c r="AL9" s="1304"/>
      <c r="AM9" s="48"/>
      <c r="AN9" s="1138"/>
      <c r="AO9" s="666" t="s">
        <v>86</v>
      </c>
      <c r="AP9" s="744"/>
    </row>
    <row r="10" spans="1:42" s="8" customFormat="1" ht="12.75" customHeight="1">
      <c r="A10" s="142"/>
      <c r="B10" s="205" t="s">
        <v>1241</v>
      </c>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63"/>
      <c r="AL10" s="63"/>
      <c r="AM10" s="48"/>
      <c r="AN10" s="1136"/>
      <c r="AO10" s="743" t="s">
        <v>1377</v>
      </c>
      <c r="AP10" s="745">
        <v>5</v>
      </c>
    </row>
    <row r="11" spans="1:42" s="8" customFormat="1" ht="12.75" customHeight="1">
      <c r="A11" s="142"/>
      <c r="B11" s="2472" t="s">
        <v>1378</v>
      </c>
      <c r="C11" s="2472"/>
      <c r="D11" s="2472"/>
      <c r="E11" s="2472"/>
      <c r="F11" s="2472"/>
      <c r="G11" s="2472"/>
      <c r="H11" s="2472"/>
      <c r="I11" s="2472"/>
      <c r="J11" s="2472"/>
      <c r="K11" s="2472"/>
      <c r="L11" s="2472"/>
      <c r="M11" s="2472"/>
      <c r="N11" s="2472"/>
      <c r="O11" s="2472"/>
      <c r="P11" s="2472"/>
      <c r="Q11" s="2472"/>
      <c r="R11" s="2472"/>
      <c r="S11" s="2472"/>
      <c r="T11" s="2472"/>
      <c r="U11" s="2472"/>
      <c r="V11" s="2472"/>
      <c r="W11" s="2472"/>
      <c r="X11" s="2472"/>
      <c r="Y11" s="2472"/>
      <c r="Z11" s="2472"/>
      <c r="AA11" s="2472"/>
      <c r="AB11" s="2472"/>
      <c r="AC11" s="2472"/>
      <c r="AD11" s="2472"/>
      <c r="AE11" s="2472"/>
      <c r="AF11" s="2472"/>
      <c r="AG11" s="2472"/>
      <c r="AH11" s="2472"/>
      <c r="AI11" s="2472"/>
      <c r="AM11" s="48"/>
      <c r="AN11" s="1136"/>
      <c r="AO11" s="743" t="s">
        <v>1378</v>
      </c>
      <c r="AP11" s="745">
        <v>7</v>
      </c>
    </row>
    <row r="12" spans="1:42" s="8" customFormat="1" ht="12.75" customHeight="1">
      <c r="A12" s="537"/>
      <c r="B12" s="59"/>
      <c r="C12" s="59"/>
      <c r="D12" s="59"/>
      <c r="E12" s="59"/>
      <c r="F12" s="59"/>
      <c r="G12" s="59"/>
      <c r="H12" s="59"/>
      <c r="I12" s="59"/>
      <c r="J12" s="59"/>
      <c r="K12" s="59"/>
      <c r="L12" s="59"/>
      <c r="M12" s="59"/>
      <c r="N12" s="59"/>
      <c r="O12" s="59"/>
      <c r="P12" s="59"/>
      <c r="Q12" s="59"/>
      <c r="R12" s="59"/>
      <c r="S12" s="59"/>
      <c r="T12" s="59"/>
      <c r="U12" s="59"/>
      <c r="V12" s="59"/>
      <c r="W12" s="59"/>
      <c r="X12" s="59"/>
      <c r="Y12" s="59"/>
      <c r="Z12" s="59"/>
      <c r="AA12" s="59"/>
      <c r="AB12" s="59"/>
      <c r="AC12" s="59"/>
      <c r="AD12" s="410"/>
      <c r="AE12" s="136"/>
      <c r="AF12" s="136"/>
      <c r="AG12" s="136"/>
      <c r="AH12" s="136"/>
      <c r="AI12" s="136"/>
      <c r="AJ12" s="136"/>
      <c r="AK12" s="136"/>
      <c r="AL12" s="136"/>
      <c r="AM12" s="48"/>
      <c r="AN12" s="1136"/>
      <c r="AO12" s="743"/>
      <c r="AP12" s="745"/>
    </row>
    <row r="13" spans="1:42" s="8" customFormat="1" ht="12.75" customHeight="1">
      <c r="A13" s="537"/>
      <c r="B13" s="205" t="s">
        <v>1379</v>
      </c>
      <c r="AB13" s="2473" t="s">
        <v>119</v>
      </c>
      <c r="AC13" s="2473"/>
      <c r="AD13" s="410"/>
      <c r="AE13" s="136"/>
      <c r="AF13" s="136"/>
      <c r="AG13" s="136"/>
      <c r="AH13" s="136"/>
      <c r="AI13" s="136"/>
      <c r="AJ13" s="136"/>
      <c r="AK13" s="136"/>
      <c r="AL13" s="136"/>
      <c r="AM13" s="48"/>
      <c r="AN13" s="1136"/>
      <c r="AO13" s="596"/>
      <c r="AP13" s="596"/>
    </row>
    <row r="14" spans="1:42" s="8" customFormat="1" ht="12.75" customHeight="1">
      <c r="A14" s="537"/>
      <c r="B14" s="59"/>
      <c r="C14" s="59"/>
      <c r="D14" s="59"/>
      <c r="E14" s="59"/>
      <c r="F14" s="59"/>
      <c r="G14" s="59"/>
      <c r="H14" s="59"/>
      <c r="I14" s="59"/>
      <c r="J14" s="59"/>
      <c r="K14" s="59"/>
      <c r="L14" s="59"/>
      <c r="M14" s="59"/>
      <c r="N14" s="59"/>
      <c r="O14" s="59"/>
      <c r="P14" s="59"/>
      <c r="Q14" s="59"/>
      <c r="R14" s="59"/>
      <c r="S14" s="59"/>
      <c r="T14" s="59"/>
      <c r="U14" s="59"/>
      <c r="V14" s="59"/>
      <c r="W14" s="59"/>
      <c r="X14" s="59"/>
      <c r="Y14" s="59"/>
      <c r="Z14" s="59"/>
      <c r="AA14" s="59"/>
      <c r="AB14" s="59"/>
      <c r="AC14" s="59"/>
      <c r="AD14" s="410"/>
      <c r="AE14" s="136"/>
      <c r="AF14" s="136"/>
      <c r="AG14" s="136"/>
      <c r="AH14" s="136"/>
      <c r="AI14" s="136"/>
      <c r="AJ14" s="136"/>
      <c r="AK14" s="136"/>
      <c r="AL14" s="136"/>
      <c r="AM14" s="48"/>
      <c r="AN14" s="1136"/>
      <c r="AO14" s="666" t="s">
        <v>1240</v>
      </c>
      <c r="AP14" s="745"/>
    </row>
    <row r="15" spans="1:42" s="8" customFormat="1" ht="12.75" customHeight="1">
      <c r="A15" s="142"/>
      <c r="B15" s="101" t="s">
        <v>1133</v>
      </c>
      <c r="C15" s="59"/>
      <c r="D15" s="59"/>
      <c r="E15" s="59"/>
      <c r="F15" s="59"/>
      <c r="G15" s="59"/>
      <c r="H15" s="59"/>
      <c r="I15" s="59"/>
      <c r="J15" s="59"/>
      <c r="K15" s="59"/>
      <c r="L15" s="59"/>
      <c r="M15" s="59"/>
      <c r="N15" s="59"/>
      <c r="O15" s="59"/>
      <c r="P15" s="59"/>
      <c r="Q15" s="59"/>
      <c r="R15" s="59"/>
      <c r="S15" s="59"/>
      <c r="T15" s="59"/>
      <c r="U15" s="59"/>
      <c r="V15" s="59"/>
      <c r="W15" s="59"/>
      <c r="X15" s="59"/>
      <c r="Y15" s="59"/>
      <c r="Z15" s="59"/>
      <c r="AA15" s="59"/>
      <c r="AB15" s="59"/>
      <c r="AC15" s="59"/>
      <c r="AD15" s="33"/>
      <c r="AM15" s="48"/>
      <c r="AN15" s="1136"/>
      <c r="AO15" s="743" t="s">
        <v>1380</v>
      </c>
      <c r="AP15" s="745">
        <v>5</v>
      </c>
    </row>
    <row r="16" spans="1:42" s="8" customFormat="1" ht="12.75" customHeight="1">
      <c r="A16" s="142"/>
      <c r="B16" s="2472" t="s">
        <v>1240</v>
      </c>
      <c r="C16" s="2472"/>
      <c r="D16" s="2472"/>
      <c r="E16" s="2472"/>
      <c r="F16" s="2472"/>
      <c r="G16" s="2472"/>
      <c r="H16" s="2472"/>
      <c r="I16" s="2472"/>
      <c r="J16" s="2472"/>
      <c r="K16" s="2472"/>
      <c r="L16" s="2472"/>
      <c r="M16" s="2472"/>
      <c r="N16" s="2472"/>
      <c r="O16" s="2472"/>
      <c r="P16" s="2472"/>
      <c r="Q16" s="2472"/>
      <c r="R16" s="2472"/>
      <c r="S16" s="2472"/>
      <c r="T16" s="2472"/>
      <c r="U16" s="2472"/>
      <c r="V16" s="2472"/>
      <c r="W16" s="2472"/>
      <c r="X16" s="2472"/>
      <c r="Y16" s="2472"/>
      <c r="Z16" s="2472"/>
      <c r="AA16" s="2472"/>
      <c r="AB16" s="2472"/>
      <c r="AC16" s="2472"/>
      <c r="AD16" s="2472"/>
      <c r="AE16" s="2472"/>
      <c r="AF16" s="2472"/>
      <c r="AG16" s="2472"/>
      <c r="AH16" s="2472"/>
      <c r="AI16" s="2472"/>
      <c r="AJ16" s="2472"/>
      <c r="AK16" s="780"/>
      <c r="AL16" s="780"/>
      <c r="AM16" s="780"/>
      <c r="AN16" s="1136"/>
      <c r="AO16" s="743" t="s">
        <v>1381</v>
      </c>
      <c r="AP16" s="745">
        <v>7</v>
      </c>
    </row>
    <row r="17" spans="1:42" s="8" customFormat="1" ht="12.75" customHeight="1">
      <c r="B17" s="101" t="s">
        <v>2083</v>
      </c>
      <c r="C17" s="59"/>
      <c r="D17" s="59"/>
      <c r="E17" s="59"/>
      <c r="F17" s="59"/>
      <c r="G17" s="59"/>
      <c r="H17" s="59"/>
      <c r="I17" s="59"/>
      <c r="J17" s="59"/>
      <c r="K17" s="59"/>
      <c r="L17" s="59"/>
      <c r="M17" s="59"/>
      <c r="N17" s="59"/>
      <c r="O17" s="59"/>
      <c r="P17" s="59"/>
      <c r="Q17" s="59"/>
      <c r="R17" s="59"/>
      <c r="S17" s="59"/>
      <c r="T17" s="59"/>
      <c r="U17" s="59"/>
      <c r="AM17" s="48"/>
      <c r="AN17" s="1136"/>
      <c r="AO17" s="743"/>
      <c r="AP17" s="745"/>
    </row>
    <row r="18" spans="1:42" s="8" customFormat="1" ht="12.75" customHeight="1">
      <c r="B18" s="205" t="s">
        <v>2082</v>
      </c>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M18" s="48"/>
      <c r="AN18" s="1136"/>
      <c r="AO18" s="71"/>
      <c r="AP18" s="536"/>
    </row>
    <row r="19" spans="1:42" s="8" customFormat="1" ht="12.75" customHeight="1">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M19" s="48"/>
      <c r="AN19" s="1136"/>
    </row>
    <row r="20" spans="1:42" s="8" customFormat="1" ht="12.75" customHeight="1">
      <c r="B20" s="2488" t="s">
        <v>1844</v>
      </c>
      <c r="C20" s="2488"/>
      <c r="D20" s="2488"/>
      <c r="E20" s="2488"/>
      <c r="F20" s="2488"/>
      <c r="G20" s="2488"/>
      <c r="H20" s="2488"/>
      <c r="I20" s="2488"/>
      <c r="J20" s="2488"/>
      <c r="K20" s="2488"/>
      <c r="L20" s="2488"/>
      <c r="M20" s="2488"/>
      <c r="N20" s="2488"/>
      <c r="O20" s="2488"/>
      <c r="P20" s="2488"/>
      <c r="Q20" s="2488"/>
      <c r="R20" s="2488"/>
      <c r="S20" s="2488"/>
      <c r="T20" s="2488"/>
      <c r="U20" s="2488"/>
      <c r="V20" s="2488"/>
      <c r="W20" s="2488"/>
      <c r="X20" s="2488"/>
      <c r="Y20" s="2488"/>
      <c r="Z20" s="2488"/>
      <c r="AA20" s="2488"/>
      <c r="AB20" s="2488"/>
      <c r="AC20" s="2488"/>
      <c r="AD20" s="2488"/>
      <c r="AE20" s="2488"/>
      <c r="AF20" s="2488"/>
      <c r="AG20" s="2488"/>
      <c r="AH20" s="2488"/>
      <c r="AI20" s="2488"/>
      <c r="AJ20" s="2488"/>
      <c r="AK20" s="2488"/>
      <c r="AL20" s="1306"/>
      <c r="AM20" s="38"/>
      <c r="AN20" s="1136"/>
    </row>
    <row r="21" spans="1:42" s="8" customFormat="1" ht="12.75" customHeight="1">
      <c r="A21" s="38"/>
      <c r="B21" s="2488"/>
      <c r="C21" s="2488"/>
      <c r="D21" s="2488"/>
      <c r="E21" s="2488"/>
      <c r="F21" s="2488"/>
      <c r="G21" s="2488"/>
      <c r="H21" s="2488"/>
      <c r="I21" s="2488"/>
      <c r="J21" s="2488"/>
      <c r="K21" s="2488"/>
      <c r="L21" s="2488"/>
      <c r="M21" s="2488"/>
      <c r="N21" s="2488"/>
      <c r="O21" s="2488"/>
      <c r="P21" s="2488"/>
      <c r="Q21" s="2488"/>
      <c r="R21" s="2488"/>
      <c r="S21" s="2488"/>
      <c r="T21" s="2488"/>
      <c r="U21" s="2488"/>
      <c r="V21" s="2488"/>
      <c r="W21" s="2488"/>
      <c r="X21" s="2488"/>
      <c r="Y21" s="2488"/>
      <c r="Z21" s="2488"/>
      <c r="AA21" s="2488"/>
      <c r="AB21" s="2488"/>
      <c r="AC21" s="2488"/>
      <c r="AD21" s="2488"/>
      <c r="AE21" s="2488"/>
      <c r="AF21" s="2488"/>
      <c r="AG21" s="2488"/>
      <c r="AH21" s="2488"/>
      <c r="AI21" s="2488"/>
      <c r="AJ21" s="2488"/>
      <c r="AK21" s="2488"/>
      <c r="AL21" s="1306"/>
      <c r="AM21" s="38"/>
      <c r="AN21" s="1136"/>
      <c r="AP21" s="535"/>
    </row>
    <row r="22" spans="1:42" s="8" customFormat="1" ht="12.75" customHeight="1">
      <c r="A22" s="38"/>
      <c r="B22" s="2488"/>
      <c r="C22" s="2488"/>
      <c r="D22" s="2488"/>
      <c r="E22" s="2488"/>
      <c r="F22" s="2488"/>
      <c r="G22" s="2488"/>
      <c r="H22" s="2488"/>
      <c r="I22" s="2488"/>
      <c r="J22" s="2488"/>
      <c r="K22" s="2488"/>
      <c r="L22" s="2488"/>
      <c r="M22" s="2488"/>
      <c r="N22" s="2488"/>
      <c r="O22" s="2488"/>
      <c r="P22" s="2488"/>
      <c r="Q22" s="2488"/>
      <c r="R22" s="2488"/>
      <c r="S22" s="2488"/>
      <c r="T22" s="2488"/>
      <c r="U22" s="2488"/>
      <c r="V22" s="2488"/>
      <c r="W22" s="2488"/>
      <c r="X22" s="2488"/>
      <c r="Y22" s="2488"/>
      <c r="Z22" s="2488"/>
      <c r="AA22" s="2488"/>
      <c r="AB22" s="2488"/>
      <c r="AC22" s="2488"/>
      <c r="AD22" s="2488"/>
      <c r="AE22" s="2488"/>
      <c r="AF22" s="2488"/>
      <c r="AG22" s="2488"/>
      <c r="AH22" s="2488"/>
      <c r="AI22" s="2488"/>
      <c r="AJ22" s="2488"/>
      <c r="AK22" s="2488"/>
      <c r="AL22" s="1306"/>
      <c r="AM22" s="38"/>
      <c r="AN22" s="1136"/>
    </row>
    <row r="23" spans="1:42" s="46" customFormat="1" ht="12.75" customHeight="1">
      <c r="A23" s="38"/>
      <c r="B23" s="2488"/>
      <c r="C23" s="2488"/>
      <c r="D23" s="2488"/>
      <c r="E23" s="2488"/>
      <c r="F23" s="2488"/>
      <c r="G23" s="2488"/>
      <c r="H23" s="2488"/>
      <c r="I23" s="2488"/>
      <c r="J23" s="2488"/>
      <c r="K23" s="2488"/>
      <c r="L23" s="2488"/>
      <c r="M23" s="2488"/>
      <c r="N23" s="2488"/>
      <c r="O23" s="2488"/>
      <c r="P23" s="2488"/>
      <c r="Q23" s="2488"/>
      <c r="R23" s="2488"/>
      <c r="S23" s="2488"/>
      <c r="T23" s="2488"/>
      <c r="U23" s="2488"/>
      <c r="V23" s="2488"/>
      <c r="W23" s="2488"/>
      <c r="X23" s="2488"/>
      <c r="Y23" s="2488"/>
      <c r="Z23" s="2488"/>
      <c r="AA23" s="2488"/>
      <c r="AB23" s="2488"/>
      <c r="AC23" s="2488"/>
      <c r="AD23" s="2488"/>
      <c r="AE23" s="2488"/>
      <c r="AF23" s="2488"/>
      <c r="AG23" s="2488"/>
      <c r="AH23" s="2488"/>
      <c r="AI23" s="2488"/>
      <c r="AJ23" s="2488"/>
      <c r="AK23" s="2488"/>
      <c r="AL23" s="1306"/>
      <c r="AM23" s="38"/>
      <c r="AN23" s="439"/>
    </row>
    <row r="24" spans="1:42" s="46" customFormat="1" ht="12.75" customHeight="1">
      <c r="A24" s="38"/>
      <c r="B24" s="2488"/>
      <c r="C24" s="2488"/>
      <c r="D24" s="2488"/>
      <c r="E24" s="2488"/>
      <c r="F24" s="2488"/>
      <c r="G24" s="2488"/>
      <c r="H24" s="2488"/>
      <c r="I24" s="2488"/>
      <c r="J24" s="2488"/>
      <c r="K24" s="2488"/>
      <c r="L24" s="2488"/>
      <c r="M24" s="2488"/>
      <c r="N24" s="2488"/>
      <c r="O24" s="2488"/>
      <c r="P24" s="2488"/>
      <c r="Q24" s="2488"/>
      <c r="R24" s="2488"/>
      <c r="S24" s="2488"/>
      <c r="T24" s="2488"/>
      <c r="U24" s="2488"/>
      <c r="V24" s="2488"/>
      <c r="W24" s="2488"/>
      <c r="X24" s="2488"/>
      <c r="Y24" s="2488"/>
      <c r="Z24" s="2488"/>
      <c r="AA24" s="2488"/>
      <c r="AB24" s="2488"/>
      <c r="AC24" s="2488"/>
      <c r="AD24" s="2488"/>
      <c r="AE24" s="2488"/>
      <c r="AF24" s="2488"/>
      <c r="AG24" s="2488"/>
      <c r="AH24" s="2488"/>
      <c r="AI24" s="2488"/>
      <c r="AJ24" s="2488"/>
      <c r="AK24" s="2488"/>
      <c r="AL24" s="1306"/>
      <c r="AM24" s="38"/>
      <c r="AN24" s="1139"/>
      <c r="AO24" s="155"/>
    </row>
    <row r="25" spans="1:42" s="46" customFormat="1" ht="12.75" customHeight="1">
      <c r="A25" s="38"/>
      <c r="B25" s="2488"/>
      <c r="C25" s="2488"/>
      <c r="D25" s="2488"/>
      <c r="E25" s="2488"/>
      <c r="F25" s="2488"/>
      <c r="G25" s="2488"/>
      <c r="H25" s="2488"/>
      <c r="I25" s="2488"/>
      <c r="J25" s="2488"/>
      <c r="K25" s="2488"/>
      <c r="L25" s="2488"/>
      <c r="M25" s="2488"/>
      <c r="N25" s="2488"/>
      <c r="O25" s="2488"/>
      <c r="P25" s="2488"/>
      <c r="Q25" s="2488"/>
      <c r="R25" s="2488"/>
      <c r="S25" s="2488"/>
      <c r="T25" s="2488"/>
      <c r="U25" s="2488"/>
      <c r="V25" s="2488"/>
      <c r="W25" s="2488"/>
      <c r="X25" s="2488"/>
      <c r="Y25" s="2488"/>
      <c r="Z25" s="2488"/>
      <c r="AA25" s="2488"/>
      <c r="AB25" s="2488"/>
      <c r="AC25" s="2488"/>
      <c r="AD25" s="2488"/>
      <c r="AE25" s="2488"/>
      <c r="AF25" s="2488"/>
      <c r="AG25" s="2488"/>
      <c r="AH25" s="2488"/>
      <c r="AI25" s="2488"/>
      <c r="AJ25" s="2488"/>
      <c r="AK25" s="2488"/>
      <c r="AL25" s="1306"/>
      <c r="AM25" s="38"/>
      <c r="AN25" s="1139"/>
    </row>
    <row r="26" spans="1:42" s="137" customFormat="1" ht="12.75" customHeight="1">
      <c r="A26" s="38"/>
      <c r="B26" s="2488"/>
      <c r="C26" s="2488"/>
      <c r="D26" s="2488"/>
      <c r="E26" s="2488"/>
      <c r="F26" s="2488"/>
      <c r="G26" s="2488"/>
      <c r="H26" s="2488"/>
      <c r="I26" s="2488"/>
      <c r="J26" s="2488"/>
      <c r="K26" s="2488"/>
      <c r="L26" s="2488"/>
      <c r="M26" s="2488"/>
      <c r="N26" s="2488"/>
      <c r="O26" s="2488"/>
      <c r="P26" s="2488"/>
      <c r="Q26" s="2488"/>
      <c r="R26" s="2488"/>
      <c r="S26" s="2488"/>
      <c r="T26" s="2488"/>
      <c r="U26" s="2488"/>
      <c r="V26" s="2488"/>
      <c r="W26" s="2488"/>
      <c r="X26" s="2488"/>
      <c r="Y26" s="2488"/>
      <c r="Z26" s="2488"/>
      <c r="AA26" s="2488"/>
      <c r="AB26" s="2488"/>
      <c r="AC26" s="2488"/>
      <c r="AD26" s="2488"/>
      <c r="AE26" s="2488"/>
      <c r="AF26" s="2488"/>
      <c r="AG26" s="2488"/>
      <c r="AH26" s="2488"/>
      <c r="AI26" s="2488"/>
      <c r="AJ26" s="2488"/>
      <c r="AK26" s="2488"/>
      <c r="AL26" s="1306"/>
      <c r="AM26" s="38"/>
      <c r="AN26" s="1140"/>
    </row>
    <row r="27" spans="1:42" s="46" customFormat="1" ht="12.75" customHeight="1">
      <c r="A27" s="38"/>
      <c r="B27" s="2488"/>
      <c r="C27" s="2488"/>
      <c r="D27" s="2488"/>
      <c r="E27" s="2488"/>
      <c r="F27" s="2488"/>
      <c r="G27" s="2488"/>
      <c r="H27" s="2488"/>
      <c r="I27" s="2488"/>
      <c r="J27" s="2488"/>
      <c r="K27" s="2488"/>
      <c r="L27" s="2488"/>
      <c r="M27" s="2488"/>
      <c r="N27" s="2488"/>
      <c r="O27" s="2488"/>
      <c r="P27" s="2488"/>
      <c r="Q27" s="2488"/>
      <c r="R27" s="2488"/>
      <c r="S27" s="2488"/>
      <c r="T27" s="2488"/>
      <c r="U27" s="2488"/>
      <c r="V27" s="2488"/>
      <c r="W27" s="2488"/>
      <c r="X27" s="2488"/>
      <c r="Y27" s="2488"/>
      <c r="Z27" s="2488"/>
      <c r="AA27" s="2488"/>
      <c r="AB27" s="2488"/>
      <c r="AC27" s="2488"/>
      <c r="AD27" s="2488"/>
      <c r="AE27" s="2488"/>
      <c r="AF27" s="2488"/>
      <c r="AG27" s="2488"/>
      <c r="AH27" s="2488"/>
      <c r="AI27" s="2488"/>
      <c r="AJ27" s="2488"/>
      <c r="AK27" s="2488"/>
      <c r="AL27" s="1306"/>
      <c r="AM27" s="38"/>
      <c r="AN27" s="1141"/>
    </row>
    <row r="28" spans="1:42" s="46" customFormat="1" ht="12.75" customHeight="1">
      <c r="A28" s="38"/>
      <c r="B28" s="2488"/>
      <c r="C28" s="2488"/>
      <c r="D28" s="2488"/>
      <c r="E28" s="2488"/>
      <c r="F28" s="2488"/>
      <c r="G28" s="2488"/>
      <c r="H28" s="2488"/>
      <c r="I28" s="2488"/>
      <c r="J28" s="2488"/>
      <c r="K28" s="2488"/>
      <c r="L28" s="2488"/>
      <c r="M28" s="2488"/>
      <c r="N28" s="2488"/>
      <c r="O28" s="2488"/>
      <c r="P28" s="2488"/>
      <c r="Q28" s="2488"/>
      <c r="R28" s="2488"/>
      <c r="S28" s="2488"/>
      <c r="T28" s="2488"/>
      <c r="U28" s="2488"/>
      <c r="V28" s="2488"/>
      <c r="W28" s="2488"/>
      <c r="X28" s="2488"/>
      <c r="Y28" s="2488"/>
      <c r="Z28" s="2488"/>
      <c r="AA28" s="2488"/>
      <c r="AB28" s="2488"/>
      <c r="AC28" s="2488"/>
      <c r="AD28" s="2488"/>
      <c r="AE28" s="2488"/>
      <c r="AF28" s="2488"/>
      <c r="AG28" s="2488"/>
      <c r="AH28" s="2488"/>
      <c r="AI28" s="2488"/>
      <c r="AJ28" s="2488"/>
      <c r="AK28" s="2488"/>
      <c r="AL28" s="1306"/>
      <c r="AM28" s="38"/>
      <c r="AN28" s="1141"/>
    </row>
    <row r="29" spans="1:42" s="46" customFormat="1" ht="31.65" customHeight="1">
      <c r="A29" s="38"/>
      <c r="B29" s="2488"/>
      <c r="C29" s="2488"/>
      <c r="D29" s="2488"/>
      <c r="E29" s="2488"/>
      <c r="F29" s="2488"/>
      <c r="G29" s="2488"/>
      <c r="H29" s="2488"/>
      <c r="I29" s="2488"/>
      <c r="J29" s="2488"/>
      <c r="K29" s="2488"/>
      <c r="L29" s="2488"/>
      <c r="M29" s="2488"/>
      <c r="N29" s="2488"/>
      <c r="O29" s="2488"/>
      <c r="P29" s="2488"/>
      <c r="Q29" s="2488"/>
      <c r="R29" s="2488"/>
      <c r="S29" s="2488"/>
      <c r="T29" s="2488"/>
      <c r="U29" s="2488"/>
      <c r="V29" s="2488"/>
      <c r="W29" s="2488"/>
      <c r="X29" s="2488"/>
      <c r="Y29" s="2488"/>
      <c r="Z29" s="2488"/>
      <c r="AA29" s="2488"/>
      <c r="AB29" s="2488"/>
      <c r="AC29" s="2488"/>
      <c r="AD29" s="2488"/>
      <c r="AE29" s="2488"/>
      <c r="AF29" s="2488"/>
      <c r="AG29" s="2488"/>
      <c r="AH29" s="2488"/>
      <c r="AI29" s="2488"/>
      <c r="AJ29" s="2488"/>
      <c r="AK29" s="2488"/>
      <c r="AL29" s="1306"/>
      <c r="AM29" s="38"/>
      <c r="AN29" s="1141"/>
      <c r="AO29" s="747" t="s">
        <v>86</v>
      </c>
      <c r="AP29" s="596"/>
    </row>
    <row r="30" spans="1:42" s="46" customFormat="1" ht="12.75" customHeight="1">
      <c r="A30" s="8"/>
      <c r="B30" s="2489"/>
      <c r="C30" s="2489"/>
      <c r="D30" s="2489"/>
      <c r="E30" s="2489"/>
      <c r="F30" s="2489"/>
      <c r="G30" s="2489"/>
      <c r="H30" s="2489"/>
      <c r="I30" s="2489"/>
      <c r="J30" s="2489"/>
      <c r="K30" s="2489"/>
      <c r="L30" s="2489"/>
      <c r="M30" s="2489"/>
      <c r="N30" s="2489"/>
      <c r="O30" s="2489"/>
      <c r="P30" s="2489"/>
      <c r="Q30" s="2489"/>
      <c r="R30" s="2489"/>
      <c r="S30" s="2489"/>
      <c r="T30" s="2489"/>
      <c r="U30" s="2489"/>
      <c r="V30" s="2489"/>
      <c r="W30" s="2489"/>
      <c r="X30" s="2489"/>
      <c r="Y30" s="2489"/>
      <c r="Z30" s="2489"/>
      <c r="AA30" s="2489"/>
      <c r="AB30" s="2489"/>
      <c r="AC30" s="2489"/>
      <c r="AD30" s="2489"/>
      <c r="AE30" s="2489"/>
      <c r="AF30" s="2489"/>
      <c r="AG30" s="2489"/>
      <c r="AH30" s="2489"/>
      <c r="AI30" s="2489"/>
      <c r="AJ30" s="2489"/>
      <c r="AK30" s="2489"/>
      <c r="AL30" s="25"/>
      <c r="AM30" s="74"/>
      <c r="AN30" s="1141"/>
      <c r="AO30" s="596" t="s">
        <v>1383</v>
      </c>
      <c r="AP30" s="748">
        <v>2</v>
      </c>
    </row>
    <row r="31" spans="1:42" s="46" customFormat="1" ht="12.75" customHeight="1">
      <c r="A31" s="145"/>
      <c r="B31" s="146"/>
      <c r="C31" s="146"/>
      <c r="D31" s="146"/>
      <c r="E31" s="146"/>
      <c r="F31" s="146"/>
      <c r="G31" s="146"/>
      <c r="H31" s="146"/>
      <c r="I31" s="146"/>
      <c r="J31" s="146"/>
      <c r="K31" s="146"/>
      <c r="L31" s="146"/>
      <c r="M31" s="146"/>
      <c r="N31" s="146"/>
      <c r="O31" s="146"/>
      <c r="P31" s="146"/>
      <c r="Q31" s="146"/>
      <c r="R31" s="146"/>
      <c r="S31" s="146"/>
      <c r="T31" s="146"/>
      <c r="U31" s="146"/>
      <c r="V31" s="146"/>
      <c r="W31" s="146"/>
      <c r="X31" s="146"/>
      <c r="Y31" s="146"/>
      <c r="Z31" s="146"/>
      <c r="AA31" s="146"/>
      <c r="AB31" s="146"/>
      <c r="AC31" s="146"/>
      <c r="AD31" s="146"/>
      <c r="AE31" s="146"/>
      <c r="AF31" s="146"/>
      <c r="AG31" s="146"/>
      <c r="AH31" s="146"/>
      <c r="AI31" s="139" t="s">
        <v>709</v>
      </c>
      <c r="AJ31" s="2486">
        <f>IF((AND(AND(OR(Application!D211="Nonprofit (qualified nonprofit organization)",Application!D211="Nonprofit (homeless assistance)",Application!D211="Special Needs/SRO"),Application!D214="Special Needs"),$AB$13="N/A")),VLOOKUP($B$16,$AO$14:$AP$16,2,FALSE),VLOOKUP($B$11,$AO$9:$AP$11,2,FALSE))</f>
        <v>7</v>
      </c>
      <c r="AK31" s="2486"/>
      <c r="AL31" s="1309"/>
      <c r="AM31" s="136"/>
      <c r="AN31" s="1141"/>
      <c r="AO31" s="596" t="s">
        <v>1382</v>
      </c>
      <c r="AP31" s="748">
        <v>3</v>
      </c>
    </row>
    <row r="32" spans="1:42" s="46" customFormat="1" ht="12.75" customHeight="1">
      <c r="A32" s="25"/>
      <c r="B32" s="25"/>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74"/>
      <c r="AL32" s="74"/>
      <c r="AM32" s="74"/>
      <c r="AN32" s="1141"/>
      <c r="AO32" s="596"/>
      <c r="AP32" s="596"/>
    </row>
    <row r="33" spans="1:43" s="46" customFormat="1" ht="12.75" customHeight="1">
      <c r="A33" s="8"/>
      <c r="B33" s="106" t="s">
        <v>1636</v>
      </c>
      <c r="C33" s="152"/>
      <c r="E33" s="151"/>
      <c r="F33" s="151"/>
      <c r="G33" s="151"/>
      <c r="H33" s="151"/>
      <c r="I33" s="151"/>
      <c r="J33" s="151"/>
      <c r="K33" s="151"/>
      <c r="L33" s="151"/>
      <c r="M33" s="151"/>
      <c r="N33" s="151"/>
      <c r="O33" s="151"/>
      <c r="P33" s="151"/>
      <c r="Q33" s="151"/>
      <c r="R33" s="151"/>
      <c r="S33" s="151"/>
      <c r="T33" s="151"/>
      <c r="U33" s="151"/>
      <c r="V33" s="151"/>
      <c r="W33" s="151"/>
      <c r="X33" s="151"/>
      <c r="Y33" s="151"/>
      <c r="Z33" s="151"/>
      <c r="AA33" s="151"/>
      <c r="AB33" s="151"/>
      <c r="AC33" s="151"/>
      <c r="AD33" s="151"/>
      <c r="AF33" s="2378" t="s">
        <v>66</v>
      </c>
      <c r="AG33" s="2378"/>
      <c r="AH33" s="2378"/>
      <c r="AI33" s="2378"/>
      <c r="AJ33" s="2378"/>
      <c r="AK33" s="2378"/>
      <c r="AL33" s="2378"/>
      <c r="AM33" s="151"/>
      <c r="AN33" s="1141"/>
      <c r="AO33" s="746"/>
      <c r="AP33" s="746"/>
    </row>
    <row r="34" spans="1:43" s="46" customFormat="1" ht="12.75" customHeight="1">
      <c r="A34" s="8"/>
      <c r="B34" s="205" t="s">
        <v>1241</v>
      </c>
      <c r="C34" s="137"/>
      <c r="D34" s="137"/>
      <c r="E34" s="137"/>
      <c r="F34" s="137"/>
      <c r="G34" s="137"/>
      <c r="H34" s="137"/>
      <c r="I34" s="137"/>
      <c r="J34" s="137"/>
      <c r="K34" s="137"/>
      <c r="L34" s="137"/>
      <c r="M34" s="137"/>
      <c r="N34" s="137"/>
      <c r="O34" s="137"/>
      <c r="P34" s="137"/>
      <c r="Q34" s="137"/>
      <c r="R34" s="137"/>
      <c r="S34" s="137"/>
      <c r="T34" s="137"/>
      <c r="U34" s="137"/>
      <c r="V34" s="137"/>
      <c r="W34" s="137"/>
      <c r="X34" s="137"/>
      <c r="Y34" s="137"/>
      <c r="Z34" s="137"/>
      <c r="AA34" s="63"/>
      <c r="AB34" s="63"/>
      <c r="AC34" s="63"/>
      <c r="AD34" s="63"/>
      <c r="AM34" s="151"/>
      <c r="AN34" s="1141"/>
      <c r="AO34" s="746"/>
      <c r="AP34" s="746"/>
    </row>
    <row r="35" spans="1:43" s="46" customFormat="1" ht="12.75" customHeight="1">
      <c r="A35" s="8"/>
      <c r="C35" s="2472" t="s">
        <v>1382</v>
      </c>
      <c r="D35" s="2472"/>
      <c r="E35" s="2472"/>
      <c r="F35" s="2472"/>
      <c r="G35" s="2472"/>
      <c r="H35" s="2472"/>
      <c r="I35" s="2472"/>
      <c r="J35" s="2472"/>
      <c r="K35" s="2472"/>
      <c r="L35" s="2472"/>
      <c r="M35" s="2472"/>
      <c r="N35" s="2472"/>
      <c r="O35" s="2472"/>
      <c r="P35" s="2472"/>
      <c r="Q35" s="2472"/>
      <c r="R35" s="2472"/>
      <c r="S35" s="2472"/>
      <c r="T35" s="2472"/>
      <c r="U35" s="2472"/>
      <c r="V35" s="2472"/>
      <c r="W35" s="2472"/>
      <c r="X35" s="2472"/>
      <c r="Y35" s="2472"/>
      <c r="Z35" s="2472"/>
      <c r="AA35" s="2472"/>
      <c r="AB35" s="2472"/>
      <c r="AC35" s="2472"/>
      <c r="AD35" s="2472"/>
      <c r="AE35" s="28"/>
      <c r="AF35" s="28"/>
      <c r="AG35" s="28"/>
      <c r="AH35" s="28"/>
      <c r="AI35" s="28"/>
      <c r="AJ35" s="137"/>
      <c r="AK35" s="137"/>
      <c r="AL35" s="137"/>
      <c r="AM35" s="151"/>
      <c r="AN35" s="439"/>
      <c r="AO35" s="747" t="s">
        <v>1240</v>
      </c>
      <c r="AP35" s="596"/>
    </row>
    <row r="36" spans="1:43" s="46" customFormat="1" ht="12.75" customHeight="1">
      <c r="A36" s="136"/>
      <c r="B36" s="137"/>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137"/>
      <c r="AF36" s="137"/>
      <c r="AG36" s="137"/>
      <c r="AH36" s="137"/>
      <c r="AI36" s="137"/>
      <c r="AJ36" s="137"/>
      <c r="AK36" s="137"/>
      <c r="AL36" s="137"/>
      <c r="AM36" s="643"/>
      <c r="AN36" s="439"/>
      <c r="AO36" s="596" t="s">
        <v>1414</v>
      </c>
      <c r="AP36" s="748">
        <v>2</v>
      </c>
    </row>
    <row r="37" spans="1:43" s="46" customFormat="1" ht="12.75" customHeight="1">
      <c r="A37" s="136"/>
      <c r="B37" s="137"/>
      <c r="C37" s="205" t="s">
        <v>1221</v>
      </c>
      <c r="D37" s="8"/>
      <c r="E37" s="8"/>
      <c r="F37" s="8"/>
      <c r="G37" s="8"/>
      <c r="H37" s="8"/>
      <c r="I37" s="8"/>
      <c r="J37" s="8"/>
      <c r="K37" s="8"/>
      <c r="L37" s="8"/>
      <c r="M37" s="8"/>
      <c r="N37" s="8"/>
      <c r="O37" s="8"/>
      <c r="P37" s="8"/>
      <c r="Q37" s="8"/>
      <c r="R37" s="8"/>
      <c r="S37" s="8"/>
      <c r="T37" s="8"/>
      <c r="U37" s="8"/>
      <c r="V37" s="8"/>
      <c r="W37" s="8"/>
      <c r="X37" s="8"/>
      <c r="Y37" s="8"/>
      <c r="Z37" s="8"/>
      <c r="AA37" s="8"/>
      <c r="AB37" s="8"/>
      <c r="AC37" s="2473" t="s">
        <v>119</v>
      </c>
      <c r="AD37" s="2473"/>
      <c r="AE37" s="137"/>
      <c r="AF37" s="137"/>
      <c r="AG37" s="137"/>
      <c r="AH37" s="137"/>
      <c r="AI37" s="137"/>
      <c r="AJ37" s="137"/>
      <c r="AK37" s="137"/>
      <c r="AL37" s="137"/>
      <c r="AM37" s="643"/>
      <c r="AN37" s="439"/>
      <c r="AO37" s="596" t="s">
        <v>1415</v>
      </c>
      <c r="AP37" s="748">
        <v>3</v>
      </c>
    </row>
    <row r="38" spans="1:43" s="46" customFormat="1" ht="12.75" customHeight="1">
      <c r="A38" s="136"/>
      <c r="B38" s="137"/>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137"/>
      <c r="AF38" s="137"/>
      <c r="AG38" s="137"/>
      <c r="AH38" s="137"/>
      <c r="AI38" s="137"/>
      <c r="AJ38" s="137"/>
      <c r="AK38" s="137"/>
      <c r="AL38" s="137"/>
      <c r="AM38" s="643"/>
      <c r="AN38" s="439"/>
      <c r="AO38" s="596"/>
      <c r="AP38" s="749"/>
    </row>
    <row r="39" spans="1:43" s="46" customFormat="1" ht="12.75" customHeight="1">
      <c r="A39" s="136"/>
      <c r="B39" s="137"/>
      <c r="C39" s="101" t="s">
        <v>1133</v>
      </c>
      <c r="D39" s="59"/>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137"/>
      <c r="AF39" s="137"/>
      <c r="AG39" s="137"/>
      <c r="AH39" s="137"/>
      <c r="AI39" s="137"/>
      <c r="AJ39" s="137"/>
      <c r="AK39" s="137"/>
      <c r="AL39" s="137"/>
      <c r="AM39" s="151"/>
      <c r="AN39" s="439"/>
      <c r="AO39" s="8"/>
      <c r="AP39" s="535"/>
    </row>
    <row r="40" spans="1:43" s="46" customFormat="1" ht="12.75" customHeight="1">
      <c r="A40" s="136"/>
      <c r="B40" s="137"/>
      <c r="C40" s="2472" t="s">
        <v>1240</v>
      </c>
      <c r="D40" s="2472"/>
      <c r="E40" s="2472"/>
      <c r="F40" s="2472"/>
      <c r="G40" s="2472"/>
      <c r="H40" s="2472"/>
      <c r="I40" s="2472"/>
      <c r="J40" s="2472"/>
      <c r="K40" s="2472"/>
      <c r="L40" s="2472"/>
      <c r="M40" s="2472"/>
      <c r="N40" s="2472"/>
      <c r="O40" s="2472"/>
      <c r="P40" s="2472"/>
      <c r="Q40" s="2472"/>
      <c r="R40" s="2472"/>
      <c r="S40" s="2472"/>
      <c r="T40" s="2472"/>
      <c r="U40" s="2472"/>
      <c r="V40" s="2472"/>
      <c r="W40" s="2472"/>
      <c r="X40" s="2472"/>
      <c r="Y40" s="2472"/>
      <c r="Z40" s="2472"/>
      <c r="AA40" s="2472"/>
      <c r="AB40" s="2472"/>
      <c r="AC40" s="2472"/>
      <c r="AD40" s="2472"/>
      <c r="AE40" s="137"/>
      <c r="AF40" s="137"/>
      <c r="AG40" s="137"/>
      <c r="AH40" s="137"/>
      <c r="AI40" s="137"/>
      <c r="AJ40" s="137"/>
      <c r="AK40" s="137"/>
      <c r="AL40" s="137"/>
      <c r="AM40" s="151"/>
      <c r="AN40" s="439"/>
    </row>
    <row r="41" spans="1:43" s="46" customFormat="1" ht="12.75" customHeight="1">
      <c r="A41" s="136"/>
      <c r="B41" s="8"/>
      <c r="C41" s="29" t="s">
        <v>2096</v>
      </c>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E41" s="29"/>
      <c r="AF41" s="29"/>
      <c r="AG41" s="29"/>
      <c r="AH41" s="29"/>
      <c r="AI41" s="29"/>
      <c r="AJ41" s="29"/>
      <c r="AK41" s="29"/>
      <c r="AL41" s="137"/>
      <c r="AM41" s="643"/>
      <c r="AN41" s="439"/>
    </row>
    <row r="42" spans="1:43" s="46" customFormat="1" ht="12.75" customHeight="1">
      <c r="A42" s="136"/>
      <c r="B42" s="8"/>
      <c r="C42" s="29" t="s">
        <v>2097</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E42" s="29"/>
      <c r="AF42" s="29"/>
      <c r="AG42" s="29"/>
      <c r="AH42" s="29"/>
      <c r="AI42" s="29"/>
      <c r="AJ42" s="29"/>
      <c r="AK42" s="29"/>
      <c r="AL42" s="137"/>
      <c r="AM42" s="643"/>
      <c r="AN42" s="439"/>
    </row>
    <row r="43" spans="1:43" s="46" customFormat="1" ht="12.75" customHeight="1">
      <c r="A43" s="136"/>
      <c r="B43" s="8"/>
      <c r="AE43" s="137"/>
      <c r="AF43" s="137"/>
      <c r="AG43" s="137"/>
      <c r="AH43" s="137"/>
      <c r="AI43" s="137"/>
      <c r="AJ43" s="137"/>
      <c r="AK43" s="137"/>
      <c r="AL43" s="137"/>
      <c r="AM43" s="643"/>
      <c r="AN43" s="439"/>
    </row>
    <row r="44" spans="1:43" s="46" customFormat="1" ht="12.75" customHeight="1">
      <c r="A44" s="8"/>
      <c r="C44" s="106" t="s">
        <v>332</v>
      </c>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137"/>
      <c r="AF44" s="137"/>
      <c r="AG44" s="137"/>
      <c r="AH44" s="137"/>
      <c r="AI44" s="137"/>
      <c r="AJ44" s="137"/>
      <c r="AK44" s="137"/>
      <c r="AL44" s="137"/>
      <c r="AM44" s="151"/>
      <c r="AN44" s="439"/>
    </row>
    <row r="45" spans="1:43" s="137" customFormat="1" ht="12.75" customHeight="1">
      <c r="A45" s="8"/>
      <c r="B45" s="46"/>
      <c r="C45" s="2472" t="s">
        <v>2404</v>
      </c>
      <c r="D45" s="2472"/>
      <c r="E45" s="2472"/>
      <c r="F45" s="2472"/>
      <c r="G45" s="2472"/>
      <c r="H45" s="2472"/>
      <c r="I45" s="2472"/>
      <c r="J45" s="2472"/>
      <c r="K45" s="2472"/>
      <c r="L45" s="2472"/>
      <c r="M45" s="2472"/>
      <c r="N45" s="2472"/>
      <c r="O45" s="2472"/>
      <c r="P45" s="2472"/>
      <c r="Q45" s="2472"/>
      <c r="R45" s="2472"/>
      <c r="S45" s="2472"/>
      <c r="T45" s="2472"/>
      <c r="U45" s="2472"/>
      <c r="V45" s="2472"/>
      <c r="W45" s="2472"/>
      <c r="X45" s="2472"/>
      <c r="Y45" s="2472"/>
      <c r="Z45" s="2472"/>
      <c r="AA45" s="2472"/>
      <c r="AB45" s="2472"/>
      <c r="AC45" s="2472"/>
      <c r="AD45" s="2472"/>
      <c r="AM45" s="151"/>
      <c r="AN45" s="1140"/>
      <c r="AP45" s="137" t="s">
        <v>732</v>
      </c>
      <c r="AQ45" s="46">
        <v>0</v>
      </c>
    </row>
    <row r="46" spans="1:43" s="46" customFormat="1" ht="12.75" customHeight="1">
      <c r="A46" s="8"/>
      <c r="C46" s="76"/>
      <c r="D46" s="76"/>
      <c r="E46" s="76"/>
      <c r="F46" s="76"/>
      <c r="G46" s="76"/>
      <c r="H46" s="76"/>
      <c r="I46" s="76"/>
      <c r="J46" s="76"/>
      <c r="K46" s="76"/>
      <c r="L46" s="76"/>
      <c r="M46" s="76"/>
      <c r="N46" s="76"/>
      <c r="O46" s="76"/>
      <c r="P46" s="76"/>
      <c r="Q46" s="76"/>
      <c r="R46" s="76"/>
      <c r="S46" s="76"/>
      <c r="T46" s="76"/>
      <c r="U46" s="76"/>
      <c r="V46" s="76"/>
      <c r="W46" s="76"/>
      <c r="X46" s="76"/>
      <c r="Y46" s="76"/>
      <c r="Z46" s="76"/>
      <c r="AA46" s="76"/>
      <c r="AB46" s="76"/>
      <c r="AC46" s="76"/>
      <c r="AD46" s="76"/>
      <c r="AE46" s="137"/>
      <c r="AF46" s="137"/>
      <c r="AG46" s="137"/>
      <c r="AH46" s="137"/>
      <c r="AI46" s="137"/>
      <c r="AJ46" s="137"/>
      <c r="AK46" s="137"/>
      <c r="AL46" s="137"/>
      <c r="AM46" s="151"/>
      <c r="AN46" s="439"/>
      <c r="AP46" s="137" t="s">
        <v>729</v>
      </c>
      <c r="AQ46" s="137">
        <v>10</v>
      </c>
    </row>
    <row r="47" spans="1:43" s="46" customFormat="1" ht="12.75" customHeight="1">
      <c r="A47" s="156"/>
      <c r="B47" s="157"/>
      <c r="C47" s="157"/>
      <c r="D47" s="158"/>
      <c r="E47" s="157"/>
      <c r="F47" s="157"/>
      <c r="G47" s="157"/>
      <c r="H47" s="157"/>
      <c r="I47" s="157"/>
      <c r="J47" s="157"/>
      <c r="K47" s="157"/>
      <c r="L47" s="157"/>
      <c r="M47" s="157"/>
      <c r="N47" s="157"/>
      <c r="O47" s="157"/>
      <c r="P47" s="157"/>
      <c r="Q47" s="159"/>
      <c r="R47" s="160"/>
      <c r="S47" s="157"/>
      <c r="T47" s="157"/>
      <c r="U47" s="157"/>
      <c r="V47" s="157"/>
      <c r="W47" s="157"/>
      <c r="X47" s="157"/>
      <c r="Y47" s="157"/>
      <c r="Z47" s="157"/>
      <c r="AA47" s="157"/>
      <c r="AB47" s="157"/>
      <c r="AC47" s="157"/>
      <c r="AD47" s="157"/>
      <c r="AE47" s="157"/>
      <c r="AF47" s="157"/>
      <c r="AG47" s="157"/>
      <c r="AH47" s="157"/>
      <c r="AI47" s="139" t="s">
        <v>710</v>
      </c>
      <c r="AJ47" s="2469">
        <f>IF((AND(AND(OR(Application!D211="Nonprofit (qualified nonprofit organization)",Application!D211="Nonprofit (homeless assistance)",Application!D211="Special Needs/SRO"),Application!D214="Special Needs"),$AC$37="N/A")),VLOOKUP($C$40,$AO$35:$AP$37,2,FALSE),VLOOKUP($C$35,$AO$29:$AP$32,2,FALSE))</f>
        <v>3</v>
      </c>
      <c r="AK47" s="2469"/>
      <c r="AL47" s="784"/>
      <c r="AM47" s="154"/>
      <c r="AN47" s="439"/>
      <c r="AP47" s="46" t="s">
        <v>731</v>
      </c>
      <c r="AQ47" s="46">
        <v>10</v>
      </c>
    </row>
    <row r="48" spans="1:43" s="46" customFormat="1" ht="12.75" customHeight="1">
      <c r="A48" s="161"/>
      <c r="B48" s="148"/>
      <c r="D48" s="162"/>
      <c r="E48" s="162"/>
      <c r="F48" s="162"/>
      <c r="G48" s="162"/>
      <c r="H48" s="162"/>
      <c r="I48" s="162"/>
      <c r="J48" s="162"/>
      <c r="K48" s="162"/>
      <c r="L48" s="162"/>
      <c r="M48" s="162"/>
      <c r="N48" s="162"/>
      <c r="R48" s="161"/>
      <c r="S48" s="148"/>
      <c r="U48" s="162"/>
      <c r="V48" s="162"/>
      <c r="W48" s="162"/>
      <c r="X48" s="162"/>
      <c r="Y48" s="162"/>
      <c r="Z48" s="162"/>
      <c r="AA48" s="162"/>
      <c r="AB48" s="162"/>
      <c r="AC48" s="162"/>
      <c r="AD48" s="162"/>
      <c r="AE48" s="162"/>
      <c r="AK48" s="153"/>
      <c r="AL48" s="153"/>
      <c r="AM48" s="153"/>
      <c r="AN48" s="439"/>
      <c r="AP48" s="46" t="s">
        <v>730</v>
      </c>
      <c r="AQ48" s="46">
        <v>10</v>
      </c>
    </row>
    <row r="49" spans="1:43" s="46" customFormat="1" ht="12.75" customHeight="1">
      <c r="B49" s="2340" t="s">
        <v>1648</v>
      </c>
      <c r="C49" s="2340"/>
      <c r="D49" s="2340"/>
      <c r="E49" s="2340"/>
      <c r="F49" s="2340"/>
      <c r="G49" s="2340"/>
      <c r="H49" s="2340"/>
      <c r="I49" s="2340"/>
      <c r="J49" s="2340"/>
      <c r="K49" s="2340"/>
      <c r="L49" s="2340"/>
      <c r="M49" s="2340"/>
      <c r="N49" s="2340"/>
      <c r="O49" s="2340"/>
      <c r="P49" s="2340"/>
      <c r="Q49" s="2340"/>
      <c r="R49" s="2340"/>
      <c r="S49" s="2340"/>
      <c r="T49" s="2340"/>
      <c r="U49" s="2340"/>
      <c r="V49" s="2340"/>
      <c r="W49" s="2340"/>
      <c r="X49" s="2340"/>
      <c r="Y49" s="2340"/>
      <c r="Z49" s="2340"/>
      <c r="AA49" s="2340"/>
      <c r="AB49" s="2340"/>
      <c r="AC49" s="2340"/>
      <c r="AD49" s="2340"/>
      <c r="AE49" s="2340"/>
      <c r="AF49" s="2340"/>
      <c r="AG49" s="2340"/>
      <c r="AH49" s="2340"/>
      <c r="AI49" s="2340"/>
      <c r="AJ49" s="2340"/>
      <c r="AK49" s="2340"/>
      <c r="AL49" s="1303"/>
      <c r="AM49" s="163"/>
      <c r="AN49" s="439"/>
      <c r="AP49" s="46" t="s">
        <v>624</v>
      </c>
      <c r="AQ49" s="46">
        <v>10</v>
      </c>
    </row>
    <row r="50" spans="1:43" s="46" customFormat="1" ht="12.75" customHeight="1">
      <c r="A50" s="164"/>
      <c r="B50" s="2340"/>
      <c r="C50" s="2340"/>
      <c r="D50" s="2340"/>
      <c r="E50" s="2340"/>
      <c r="F50" s="2340"/>
      <c r="G50" s="2340"/>
      <c r="H50" s="2340"/>
      <c r="I50" s="2340"/>
      <c r="J50" s="2340"/>
      <c r="K50" s="2340"/>
      <c r="L50" s="2340"/>
      <c r="M50" s="2340"/>
      <c r="N50" s="2340"/>
      <c r="O50" s="2340"/>
      <c r="P50" s="2340"/>
      <c r="Q50" s="2340"/>
      <c r="R50" s="2340"/>
      <c r="S50" s="2340"/>
      <c r="T50" s="2340"/>
      <c r="U50" s="2340"/>
      <c r="V50" s="2340"/>
      <c r="W50" s="2340"/>
      <c r="X50" s="2340"/>
      <c r="Y50" s="2340"/>
      <c r="Z50" s="2340"/>
      <c r="AA50" s="2340"/>
      <c r="AB50" s="2340"/>
      <c r="AC50" s="2340"/>
      <c r="AD50" s="2340"/>
      <c r="AE50" s="2340"/>
      <c r="AF50" s="2340"/>
      <c r="AG50" s="2340"/>
      <c r="AH50" s="2340"/>
      <c r="AI50" s="2340"/>
      <c r="AJ50" s="2340"/>
      <c r="AK50" s="2340"/>
      <c r="AL50" s="1303"/>
      <c r="AM50" s="163"/>
      <c r="AN50" s="439"/>
      <c r="AP50" s="46" t="s">
        <v>681</v>
      </c>
      <c r="AQ50" s="46">
        <v>10</v>
      </c>
    </row>
    <row r="51" spans="1:43" s="46" customFormat="1" ht="12.75" customHeight="1">
      <c r="A51" s="164"/>
      <c r="B51" s="2340"/>
      <c r="C51" s="2340"/>
      <c r="D51" s="2340"/>
      <c r="E51" s="2340"/>
      <c r="F51" s="2340"/>
      <c r="G51" s="2340"/>
      <c r="H51" s="2340"/>
      <c r="I51" s="2340"/>
      <c r="J51" s="2340"/>
      <c r="K51" s="2340"/>
      <c r="L51" s="2340"/>
      <c r="M51" s="2340"/>
      <c r="N51" s="2340"/>
      <c r="O51" s="2340"/>
      <c r="P51" s="2340"/>
      <c r="Q51" s="2340"/>
      <c r="R51" s="2340"/>
      <c r="S51" s="2340"/>
      <c r="T51" s="2340"/>
      <c r="U51" s="2340"/>
      <c r="V51" s="2340"/>
      <c r="W51" s="2340"/>
      <c r="X51" s="2340"/>
      <c r="Y51" s="2340"/>
      <c r="Z51" s="2340"/>
      <c r="AA51" s="2340"/>
      <c r="AB51" s="2340"/>
      <c r="AC51" s="2340"/>
      <c r="AD51" s="2340"/>
      <c r="AE51" s="2340"/>
      <c r="AF51" s="2340"/>
      <c r="AG51" s="2340"/>
      <c r="AH51" s="2340"/>
      <c r="AI51" s="2340"/>
      <c r="AJ51" s="2340"/>
      <c r="AK51" s="2340"/>
      <c r="AL51" s="1303"/>
      <c r="AM51" s="163"/>
      <c r="AN51" s="439"/>
    </row>
    <row r="52" spans="1:43" s="137" customFormat="1" ht="12.75" customHeight="1">
      <c r="A52" s="164"/>
      <c r="B52" s="2340"/>
      <c r="C52" s="2340"/>
      <c r="D52" s="2340"/>
      <c r="E52" s="2340"/>
      <c r="F52" s="2340"/>
      <c r="G52" s="2340"/>
      <c r="H52" s="2340"/>
      <c r="I52" s="2340"/>
      <c r="J52" s="2340"/>
      <c r="K52" s="2340"/>
      <c r="L52" s="2340"/>
      <c r="M52" s="2340"/>
      <c r="N52" s="2340"/>
      <c r="O52" s="2340"/>
      <c r="P52" s="2340"/>
      <c r="Q52" s="2340"/>
      <c r="R52" s="2340"/>
      <c r="S52" s="2340"/>
      <c r="T52" s="2340"/>
      <c r="U52" s="2340"/>
      <c r="V52" s="2340"/>
      <c r="W52" s="2340"/>
      <c r="X52" s="2340"/>
      <c r="Y52" s="2340"/>
      <c r="Z52" s="2340"/>
      <c r="AA52" s="2340"/>
      <c r="AB52" s="2340"/>
      <c r="AC52" s="2340"/>
      <c r="AD52" s="2340"/>
      <c r="AE52" s="2340"/>
      <c r="AF52" s="2340"/>
      <c r="AG52" s="2340"/>
      <c r="AH52" s="2340"/>
      <c r="AI52" s="2340"/>
      <c r="AJ52" s="2340"/>
      <c r="AK52" s="2340"/>
      <c r="AL52" s="1303"/>
      <c r="AM52" s="163"/>
      <c r="AN52" s="1140"/>
    </row>
    <row r="53" spans="1:43" s="46" customFormat="1" ht="12.75" customHeight="1">
      <c r="A53" s="164"/>
      <c r="B53" s="2340"/>
      <c r="C53" s="2340"/>
      <c r="D53" s="2340"/>
      <c r="E53" s="2340"/>
      <c r="F53" s="2340"/>
      <c r="G53" s="2340"/>
      <c r="H53" s="2340"/>
      <c r="I53" s="2340"/>
      <c r="J53" s="2340"/>
      <c r="K53" s="2340"/>
      <c r="L53" s="2340"/>
      <c r="M53" s="2340"/>
      <c r="N53" s="2340"/>
      <c r="O53" s="2340"/>
      <c r="P53" s="2340"/>
      <c r="Q53" s="2340"/>
      <c r="R53" s="2340"/>
      <c r="S53" s="2340"/>
      <c r="T53" s="2340"/>
      <c r="U53" s="2340"/>
      <c r="V53" s="2340"/>
      <c r="W53" s="2340"/>
      <c r="X53" s="2340"/>
      <c r="Y53" s="2340"/>
      <c r="Z53" s="2340"/>
      <c r="AA53" s="2340"/>
      <c r="AB53" s="2340"/>
      <c r="AC53" s="2340"/>
      <c r="AD53" s="2340"/>
      <c r="AE53" s="2340"/>
      <c r="AF53" s="2340"/>
      <c r="AG53" s="2340"/>
      <c r="AH53" s="2340"/>
      <c r="AI53" s="2340"/>
      <c r="AJ53" s="2340"/>
      <c r="AK53" s="2340"/>
      <c r="AL53" s="1303"/>
      <c r="AM53" s="163"/>
      <c r="AN53" s="439"/>
    </row>
    <row r="54" spans="1:43" s="46" customFormat="1" ht="12.75" customHeight="1">
      <c r="A54" s="164"/>
      <c r="B54" s="2340"/>
      <c r="C54" s="2340"/>
      <c r="D54" s="2340"/>
      <c r="E54" s="2340"/>
      <c r="F54" s="2340"/>
      <c r="G54" s="2340"/>
      <c r="H54" s="2340"/>
      <c r="I54" s="2340"/>
      <c r="J54" s="2340"/>
      <c r="K54" s="2340"/>
      <c r="L54" s="2340"/>
      <c r="M54" s="2340"/>
      <c r="N54" s="2340"/>
      <c r="O54" s="2340"/>
      <c r="P54" s="2340"/>
      <c r="Q54" s="2340"/>
      <c r="R54" s="2340"/>
      <c r="S54" s="2340"/>
      <c r="T54" s="2340"/>
      <c r="U54" s="2340"/>
      <c r="V54" s="2340"/>
      <c r="W54" s="2340"/>
      <c r="X54" s="2340"/>
      <c r="Y54" s="2340"/>
      <c r="Z54" s="2340"/>
      <c r="AA54" s="2340"/>
      <c r="AB54" s="2340"/>
      <c r="AC54" s="2340"/>
      <c r="AD54" s="2340"/>
      <c r="AE54" s="2340"/>
      <c r="AF54" s="2340"/>
      <c r="AG54" s="2340"/>
      <c r="AH54" s="2340"/>
      <c r="AI54" s="2340"/>
      <c r="AJ54" s="2340"/>
      <c r="AK54" s="2340"/>
      <c r="AL54" s="1303"/>
      <c r="AM54" s="163"/>
      <c r="AN54" s="439"/>
    </row>
    <row r="55" spans="1:43" s="46" customFormat="1" ht="33.6" customHeight="1">
      <c r="A55" s="164"/>
      <c r="B55" s="2340"/>
      <c r="C55" s="2340"/>
      <c r="D55" s="2340"/>
      <c r="E55" s="2340"/>
      <c r="F55" s="2340"/>
      <c r="G55" s="2340"/>
      <c r="H55" s="2340"/>
      <c r="I55" s="2340"/>
      <c r="J55" s="2340"/>
      <c r="K55" s="2340"/>
      <c r="L55" s="2340"/>
      <c r="M55" s="2340"/>
      <c r="N55" s="2340"/>
      <c r="O55" s="2340"/>
      <c r="P55" s="2340"/>
      <c r="Q55" s="2340"/>
      <c r="R55" s="2340"/>
      <c r="S55" s="2340"/>
      <c r="T55" s="2340"/>
      <c r="U55" s="2340"/>
      <c r="V55" s="2340"/>
      <c r="W55" s="2340"/>
      <c r="X55" s="2340"/>
      <c r="Y55" s="2340"/>
      <c r="Z55" s="2340"/>
      <c r="AA55" s="2340"/>
      <c r="AB55" s="2340"/>
      <c r="AC55" s="2340"/>
      <c r="AD55" s="2340"/>
      <c r="AE55" s="2340"/>
      <c r="AF55" s="2340"/>
      <c r="AG55" s="2340"/>
      <c r="AH55" s="2340"/>
      <c r="AI55" s="2340"/>
      <c r="AJ55" s="2340"/>
      <c r="AK55" s="2340"/>
      <c r="AL55" s="1303"/>
      <c r="AM55" s="163"/>
      <c r="AN55" s="439"/>
    </row>
    <row r="56" spans="1:43" s="46" customFormat="1" ht="12.75" customHeight="1">
      <c r="A56" s="164"/>
      <c r="B56" s="163"/>
      <c r="C56" s="163"/>
      <c r="D56" s="163"/>
      <c r="E56" s="163"/>
      <c r="F56" s="163"/>
      <c r="G56" s="163"/>
      <c r="H56" s="163"/>
      <c r="I56" s="163"/>
      <c r="J56" s="163"/>
      <c r="K56" s="163"/>
      <c r="L56" s="163"/>
      <c r="M56" s="163"/>
      <c r="N56" s="163"/>
      <c r="O56" s="163"/>
      <c r="P56" s="163"/>
      <c r="Q56" s="163"/>
      <c r="R56" s="163"/>
      <c r="S56" s="163"/>
      <c r="T56" s="163"/>
      <c r="U56" s="163"/>
      <c r="V56" s="163"/>
      <c r="W56" s="163"/>
      <c r="X56" s="163"/>
      <c r="Y56" s="163"/>
      <c r="Z56" s="163"/>
      <c r="AA56" s="163"/>
      <c r="AB56" s="163"/>
      <c r="AC56" s="163"/>
      <c r="AD56" s="163"/>
      <c r="AE56" s="163"/>
      <c r="AF56" s="163"/>
      <c r="AG56" s="163"/>
      <c r="AH56" s="163"/>
      <c r="AI56" s="163"/>
      <c r="AJ56" s="163"/>
      <c r="AK56" s="163"/>
      <c r="AL56" s="163"/>
      <c r="AM56" s="163"/>
      <c r="AN56" s="439"/>
    </row>
    <row r="57" spans="1:43" s="46" customFormat="1" ht="12.75" customHeight="1">
      <c r="A57" s="164"/>
      <c r="B57" s="2340" t="s">
        <v>1649</v>
      </c>
      <c r="C57" s="2340"/>
      <c r="D57" s="2340"/>
      <c r="E57" s="2340"/>
      <c r="F57" s="2340"/>
      <c r="G57" s="2340"/>
      <c r="H57" s="2340"/>
      <c r="I57" s="2340"/>
      <c r="J57" s="2340"/>
      <c r="K57" s="2340"/>
      <c r="L57" s="2340"/>
      <c r="M57" s="2340"/>
      <c r="N57" s="2340"/>
      <c r="O57" s="2340"/>
      <c r="P57" s="2340"/>
      <c r="Q57" s="2340"/>
      <c r="R57" s="2340"/>
      <c r="S57" s="2340"/>
      <c r="T57" s="2340"/>
      <c r="U57" s="2340"/>
      <c r="V57" s="2340"/>
      <c r="W57" s="2340"/>
      <c r="X57" s="2340"/>
      <c r="Y57" s="2340"/>
      <c r="Z57" s="2340"/>
      <c r="AA57" s="2340"/>
      <c r="AB57" s="2340"/>
      <c r="AC57" s="2340"/>
      <c r="AD57" s="2340"/>
      <c r="AE57" s="2340"/>
      <c r="AF57" s="2340"/>
      <c r="AG57" s="2340"/>
      <c r="AH57" s="2340"/>
      <c r="AI57" s="2340"/>
      <c r="AJ57" s="2340"/>
      <c r="AK57" s="2340"/>
      <c r="AL57" s="1303"/>
      <c r="AM57" s="163"/>
      <c r="AN57" s="439"/>
    </row>
    <row r="58" spans="1:43" s="46" customFormat="1" ht="12.75" customHeight="1">
      <c r="A58" s="164"/>
      <c r="B58" s="2340"/>
      <c r="C58" s="2340"/>
      <c r="D58" s="2340"/>
      <c r="E58" s="2340"/>
      <c r="F58" s="2340"/>
      <c r="G58" s="2340"/>
      <c r="H58" s="2340"/>
      <c r="I58" s="2340"/>
      <c r="J58" s="2340"/>
      <c r="K58" s="2340"/>
      <c r="L58" s="2340"/>
      <c r="M58" s="2340"/>
      <c r="N58" s="2340"/>
      <c r="O58" s="2340"/>
      <c r="P58" s="2340"/>
      <c r="Q58" s="2340"/>
      <c r="R58" s="2340"/>
      <c r="S58" s="2340"/>
      <c r="T58" s="2340"/>
      <c r="U58" s="2340"/>
      <c r="V58" s="2340"/>
      <c r="W58" s="2340"/>
      <c r="X58" s="2340"/>
      <c r="Y58" s="2340"/>
      <c r="Z58" s="2340"/>
      <c r="AA58" s="2340"/>
      <c r="AB58" s="2340"/>
      <c r="AC58" s="2340"/>
      <c r="AD58" s="2340"/>
      <c r="AE58" s="2340"/>
      <c r="AF58" s="2340"/>
      <c r="AG58" s="2340"/>
      <c r="AH58" s="2340"/>
      <c r="AI58" s="2340"/>
      <c r="AJ58" s="2340"/>
      <c r="AK58" s="2340"/>
      <c r="AL58" s="1303"/>
      <c r="AM58" s="163"/>
      <c r="AN58" s="439"/>
    </row>
    <row r="59" spans="1:43" s="46" customFormat="1" ht="12.75" customHeight="1">
      <c r="A59" s="164"/>
      <c r="B59" s="2340"/>
      <c r="C59" s="2340"/>
      <c r="D59" s="2340"/>
      <c r="E59" s="2340"/>
      <c r="F59" s="2340"/>
      <c r="G59" s="2340"/>
      <c r="H59" s="2340"/>
      <c r="I59" s="2340"/>
      <c r="J59" s="2340"/>
      <c r="K59" s="2340"/>
      <c r="L59" s="2340"/>
      <c r="M59" s="2340"/>
      <c r="N59" s="2340"/>
      <c r="O59" s="2340"/>
      <c r="P59" s="2340"/>
      <c r="Q59" s="2340"/>
      <c r="R59" s="2340"/>
      <c r="S59" s="2340"/>
      <c r="T59" s="2340"/>
      <c r="U59" s="2340"/>
      <c r="V59" s="2340"/>
      <c r="W59" s="2340"/>
      <c r="X59" s="2340"/>
      <c r="Y59" s="2340"/>
      <c r="Z59" s="2340"/>
      <c r="AA59" s="2340"/>
      <c r="AB59" s="2340"/>
      <c r="AC59" s="2340"/>
      <c r="AD59" s="2340"/>
      <c r="AE59" s="2340"/>
      <c r="AF59" s="2340"/>
      <c r="AG59" s="2340"/>
      <c r="AH59" s="2340"/>
      <c r="AI59" s="2340"/>
      <c r="AJ59" s="2340"/>
      <c r="AK59" s="2340"/>
      <c r="AL59" s="1303"/>
      <c r="AM59" s="163"/>
      <c r="AN59" s="439"/>
    </row>
    <row r="60" spans="1:43" s="46" customFormat="1" ht="17.850000000000001" customHeight="1">
      <c r="A60" s="164"/>
      <c r="B60" s="2340"/>
      <c r="C60" s="2340"/>
      <c r="D60" s="2340"/>
      <c r="E60" s="2340"/>
      <c r="F60" s="2340"/>
      <c r="G60" s="2340"/>
      <c r="H60" s="2340"/>
      <c r="I60" s="2340"/>
      <c r="J60" s="2340"/>
      <c r="K60" s="2340"/>
      <c r="L60" s="2340"/>
      <c r="M60" s="2340"/>
      <c r="N60" s="2340"/>
      <c r="O60" s="2340"/>
      <c r="P60" s="2340"/>
      <c r="Q60" s="2340"/>
      <c r="R60" s="2340"/>
      <c r="S60" s="2340"/>
      <c r="T60" s="2340"/>
      <c r="U60" s="2340"/>
      <c r="V60" s="2340"/>
      <c r="W60" s="2340"/>
      <c r="X60" s="2340"/>
      <c r="Y60" s="2340"/>
      <c r="Z60" s="2340"/>
      <c r="AA60" s="2340"/>
      <c r="AB60" s="2340"/>
      <c r="AC60" s="2340"/>
      <c r="AD60" s="2340"/>
      <c r="AE60" s="2340"/>
      <c r="AF60" s="2340"/>
      <c r="AG60" s="2340"/>
      <c r="AH60" s="2340"/>
      <c r="AI60" s="2340"/>
      <c r="AJ60" s="2340"/>
      <c r="AK60" s="2340"/>
      <c r="AL60" s="1303"/>
      <c r="AM60" s="163"/>
      <c r="AN60" s="439"/>
    </row>
    <row r="61" spans="1:43" s="46" customFormat="1" ht="12.75" customHeight="1">
      <c r="A61" s="164"/>
      <c r="C61" s="163"/>
      <c r="D61" s="163"/>
      <c r="E61" s="163"/>
      <c r="F61" s="163"/>
      <c r="G61" s="163"/>
      <c r="H61" s="163"/>
      <c r="I61" s="163"/>
      <c r="J61" s="163"/>
      <c r="K61" s="163"/>
      <c r="L61" s="163"/>
      <c r="M61" s="163"/>
      <c r="N61" s="163"/>
      <c r="O61" s="163"/>
      <c r="P61" s="163"/>
      <c r="Q61" s="163"/>
      <c r="R61" s="163"/>
      <c r="S61" s="163"/>
      <c r="T61" s="163"/>
      <c r="U61" s="163"/>
      <c r="V61" s="163"/>
      <c r="W61" s="163"/>
      <c r="X61" s="163"/>
      <c r="Y61" s="163"/>
      <c r="Z61" s="163"/>
      <c r="AA61" s="163"/>
      <c r="AB61" s="163"/>
      <c r="AC61" s="163"/>
      <c r="AD61" s="163"/>
      <c r="AE61" s="163"/>
      <c r="AF61" s="163"/>
      <c r="AG61" s="163"/>
      <c r="AH61" s="163"/>
      <c r="AI61" s="163"/>
      <c r="AJ61" s="163"/>
      <c r="AK61" s="163"/>
      <c r="AL61" s="163"/>
      <c r="AM61" s="163"/>
      <c r="AN61" s="439"/>
    </row>
    <row r="62" spans="1:43" s="46" customFormat="1" ht="12.75" customHeight="1">
      <c r="A62" s="675"/>
      <c r="B62" s="2340" t="s">
        <v>1650</v>
      </c>
      <c r="C62" s="2340"/>
      <c r="D62" s="2340"/>
      <c r="E62" s="2340"/>
      <c r="F62" s="2340"/>
      <c r="G62" s="2340"/>
      <c r="H62" s="2340"/>
      <c r="I62" s="2340"/>
      <c r="J62" s="2340"/>
      <c r="K62" s="2340"/>
      <c r="L62" s="2340"/>
      <c r="M62" s="2340"/>
      <c r="N62" s="2340"/>
      <c r="O62" s="2340"/>
      <c r="P62" s="2340"/>
      <c r="Q62" s="2340"/>
      <c r="R62" s="2340"/>
      <c r="S62" s="2340"/>
      <c r="T62" s="2340"/>
      <c r="U62" s="2340"/>
      <c r="V62" s="2340"/>
      <c r="W62" s="2340"/>
      <c r="X62" s="2340"/>
      <c r="Y62" s="2340"/>
      <c r="Z62" s="2340"/>
      <c r="AA62" s="2340"/>
      <c r="AB62" s="2340"/>
      <c r="AC62" s="2340"/>
      <c r="AD62" s="2340"/>
      <c r="AE62" s="2340"/>
      <c r="AF62" s="2340"/>
      <c r="AG62" s="2340"/>
      <c r="AH62" s="2340"/>
      <c r="AI62" s="2340"/>
      <c r="AJ62" s="2340"/>
      <c r="AK62" s="2340"/>
      <c r="AL62" s="1303"/>
      <c r="AM62" s="163"/>
      <c r="AN62" s="439"/>
    </row>
    <row r="63" spans="1:43" s="46" customFormat="1" ht="12.75" customHeight="1">
      <c r="B63" s="2340"/>
      <c r="C63" s="2340"/>
      <c r="D63" s="2340"/>
      <c r="E63" s="2340"/>
      <c r="F63" s="2340"/>
      <c r="G63" s="2340"/>
      <c r="H63" s="2340"/>
      <c r="I63" s="2340"/>
      <c r="J63" s="2340"/>
      <c r="K63" s="2340"/>
      <c r="L63" s="2340"/>
      <c r="M63" s="2340"/>
      <c r="N63" s="2340"/>
      <c r="O63" s="2340"/>
      <c r="P63" s="2340"/>
      <c r="Q63" s="2340"/>
      <c r="R63" s="2340"/>
      <c r="S63" s="2340"/>
      <c r="T63" s="2340"/>
      <c r="U63" s="2340"/>
      <c r="V63" s="2340"/>
      <c r="W63" s="2340"/>
      <c r="X63" s="2340"/>
      <c r="Y63" s="2340"/>
      <c r="Z63" s="2340"/>
      <c r="AA63" s="2340"/>
      <c r="AB63" s="2340"/>
      <c r="AC63" s="2340"/>
      <c r="AD63" s="2340"/>
      <c r="AE63" s="2340"/>
      <c r="AF63" s="2340"/>
      <c r="AG63" s="2340"/>
      <c r="AH63" s="2340"/>
      <c r="AI63" s="2340"/>
      <c r="AJ63" s="2340"/>
      <c r="AK63" s="2340"/>
      <c r="AL63" s="1303"/>
      <c r="AM63" s="163"/>
      <c r="AN63" s="439"/>
    </row>
    <row r="64" spans="1:43" s="46" customFormat="1" ht="23.1" customHeight="1">
      <c r="A64" s="675"/>
      <c r="B64" s="2340"/>
      <c r="C64" s="2340"/>
      <c r="D64" s="2340"/>
      <c r="E64" s="2340"/>
      <c r="F64" s="2340"/>
      <c r="G64" s="2340"/>
      <c r="H64" s="2340"/>
      <c r="I64" s="2340"/>
      <c r="J64" s="2340"/>
      <c r="K64" s="2340"/>
      <c r="L64" s="2340"/>
      <c r="M64" s="2340"/>
      <c r="N64" s="2340"/>
      <c r="O64" s="2340"/>
      <c r="P64" s="2340"/>
      <c r="Q64" s="2340"/>
      <c r="R64" s="2340"/>
      <c r="S64" s="2340"/>
      <c r="T64" s="2340"/>
      <c r="U64" s="2340"/>
      <c r="V64" s="2340"/>
      <c r="W64" s="2340"/>
      <c r="X64" s="2340"/>
      <c r="Y64" s="2340"/>
      <c r="Z64" s="2340"/>
      <c r="AA64" s="2340"/>
      <c r="AB64" s="2340"/>
      <c r="AC64" s="2340"/>
      <c r="AD64" s="2340"/>
      <c r="AE64" s="2340"/>
      <c r="AF64" s="2340"/>
      <c r="AG64" s="2340"/>
      <c r="AH64" s="2340"/>
      <c r="AI64" s="2340"/>
      <c r="AJ64" s="2340"/>
      <c r="AK64" s="2340"/>
      <c r="AL64" s="1303"/>
      <c r="AM64" s="163"/>
      <c r="AN64" s="439"/>
    </row>
    <row r="65" spans="1:16384" s="46" customFormat="1" ht="12.75" customHeight="1">
      <c r="A65" s="164"/>
      <c r="B65" s="163"/>
      <c r="C65" s="163"/>
      <c r="D65" s="163"/>
      <c r="E65" s="163"/>
      <c r="F65" s="163"/>
      <c r="G65" s="163"/>
      <c r="H65" s="163"/>
      <c r="I65" s="163"/>
      <c r="J65" s="163"/>
      <c r="K65" s="163"/>
      <c r="L65" s="163"/>
      <c r="M65" s="163"/>
      <c r="N65" s="163"/>
      <c r="O65" s="163"/>
      <c r="P65" s="163"/>
      <c r="Q65" s="163"/>
      <c r="R65" s="163"/>
      <c r="S65" s="163"/>
      <c r="T65" s="163"/>
      <c r="U65" s="163"/>
      <c r="V65" s="163"/>
      <c r="W65" s="163"/>
      <c r="X65" s="163"/>
      <c r="Y65" s="163"/>
      <c r="Z65" s="163"/>
      <c r="AA65" s="163"/>
      <c r="AB65" s="163"/>
      <c r="AC65" s="163"/>
      <c r="AD65" s="163"/>
      <c r="AE65" s="163"/>
      <c r="AF65" s="163"/>
      <c r="AG65" s="163"/>
      <c r="AH65" s="163"/>
      <c r="AI65" s="163"/>
      <c r="AJ65" s="163"/>
      <c r="AK65" s="163"/>
      <c r="AL65" s="163"/>
      <c r="AM65" s="163"/>
      <c r="AN65" s="439"/>
    </row>
    <row r="66" spans="1:16384" s="46" customFormat="1" ht="12.75" customHeight="1">
      <c r="A66" s="165"/>
      <c r="B66" s="166"/>
      <c r="C66" s="166"/>
      <c r="D66" s="166"/>
      <c r="E66" s="166"/>
      <c r="F66" s="166"/>
      <c r="G66" s="158"/>
      <c r="H66" s="167"/>
      <c r="I66" s="167"/>
      <c r="J66" s="167"/>
      <c r="K66" s="167"/>
      <c r="L66" s="167"/>
      <c r="M66" s="167"/>
      <c r="N66" s="167"/>
      <c r="O66" s="167"/>
      <c r="P66" s="167"/>
      <c r="Q66" s="167"/>
      <c r="R66" s="167"/>
      <c r="S66" s="167"/>
      <c r="T66" s="167"/>
      <c r="U66" s="167"/>
      <c r="V66" s="167"/>
      <c r="W66" s="167"/>
      <c r="X66" s="167"/>
      <c r="Y66" s="167"/>
      <c r="Z66" s="167"/>
      <c r="AA66" s="167"/>
      <c r="AB66" s="167"/>
      <c r="AC66" s="167"/>
      <c r="AD66" s="167"/>
      <c r="AE66" s="167"/>
      <c r="AF66" s="167"/>
      <c r="AG66" s="167"/>
      <c r="AH66" s="167"/>
      <c r="AI66" s="139"/>
      <c r="AJ66" s="1299" t="s">
        <v>1242</v>
      </c>
      <c r="AK66" s="2457">
        <f>$AJ$31+$AJ$47</f>
        <v>10</v>
      </c>
      <c r="AL66" s="2458"/>
      <c r="AM66" s="2459"/>
      <c r="AN66" s="439"/>
    </row>
    <row r="67" spans="1:16384" s="46" customFormat="1" ht="12.75" customHeight="1" thickBot="1">
      <c r="A67" s="168"/>
      <c r="B67" s="169"/>
      <c r="C67" s="170"/>
      <c r="D67" s="170"/>
      <c r="E67" s="170"/>
      <c r="F67" s="170"/>
      <c r="G67" s="170"/>
      <c r="H67" s="170"/>
      <c r="I67" s="170"/>
      <c r="J67" s="170"/>
      <c r="K67" s="170"/>
      <c r="L67" s="170"/>
      <c r="M67" s="170"/>
      <c r="N67" s="170"/>
      <c r="O67" s="170"/>
      <c r="P67" s="170"/>
      <c r="Q67" s="170"/>
      <c r="R67" s="170"/>
      <c r="S67" s="170"/>
      <c r="T67" s="170"/>
      <c r="U67" s="170"/>
      <c r="V67" s="170"/>
      <c r="W67" s="170"/>
      <c r="X67" s="170"/>
      <c r="Y67" s="170"/>
      <c r="Z67" s="170"/>
      <c r="AA67" s="170"/>
      <c r="AB67" s="170"/>
      <c r="AC67" s="170"/>
      <c r="AD67" s="170"/>
      <c r="AE67" s="170"/>
      <c r="AF67" s="170"/>
      <c r="AG67" s="170"/>
      <c r="AH67" s="170"/>
      <c r="AI67" s="170"/>
      <c r="AJ67" s="170"/>
      <c r="AK67" s="170"/>
      <c r="AL67" s="170"/>
      <c r="AM67" s="170"/>
      <c r="AN67" s="170"/>
      <c r="AO67" s="170"/>
      <c r="AP67" s="170"/>
      <c r="AQ67" s="170"/>
      <c r="AR67" s="170"/>
      <c r="AS67" s="170"/>
      <c r="AT67" s="170"/>
      <c r="AU67" s="170"/>
      <c r="AV67" s="170"/>
      <c r="AW67" s="170"/>
      <c r="AX67" s="170"/>
      <c r="AY67" s="170"/>
      <c r="AZ67" s="170"/>
      <c r="BA67" s="170"/>
      <c r="BB67" s="170"/>
      <c r="BC67" s="170"/>
      <c r="BD67" s="170"/>
      <c r="BE67" s="170"/>
      <c r="BF67" s="170"/>
      <c r="BG67" s="170"/>
      <c r="BH67" s="170"/>
      <c r="BI67" s="170"/>
      <c r="BJ67" s="170"/>
      <c r="BK67" s="170"/>
      <c r="BL67" s="170"/>
      <c r="BM67" s="170"/>
      <c r="BN67" s="170"/>
      <c r="BO67" s="170"/>
      <c r="BP67" s="170"/>
      <c r="BQ67" s="170"/>
      <c r="BR67" s="170"/>
      <c r="BS67" s="170"/>
      <c r="BT67" s="170"/>
      <c r="BU67" s="170"/>
      <c r="BV67" s="170"/>
      <c r="BW67" s="170"/>
      <c r="BX67" s="170"/>
      <c r="BY67" s="170"/>
      <c r="BZ67" s="170"/>
      <c r="CA67" s="170"/>
      <c r="CB67" s="170"/>
      <c r="CC67" s="170"/>
      <c r="CD67" s="170"/>
      <c r="CE67" s="170"/>
      <c r="CF67" s="170"/>
      <c r="CG67" s="170"/>
      <c r="CH67" s="170"/>
      <c r="CI67" s="170"/>
      <c r="CJ67" s="170"/>
      <c r="CK67" s="170"/>
      <c r="CL67" s="170"/>
      <c r="CM67" s="170"/>
      <c r="CN67" s="170"/>
      <c r="CO67" s="170"/>
      <c r="CP67" s="170"/>
      <c r="CQ67" s="170"/>
      <c r="CR67" s="170"/>
      <c r="CS67" s="170"/>
      <c r="CT67" s="170"/>
      <c r="CU67" s="170"/>
      <c r="CV67" s="170"/>
      <c r="CW67" s="170"/>
      <c r="CX67" s="170"/>
      <c r="CY67" s="170"/>
      <c r="CZ67" s="170"/>
      <c r="DA67" s="170"/>
      <c r="DB67" s="170"/>
      <c r="DC67" s="170"/>
      <c r="DD67" s="170"/>
      <c r="DE67" s="170"/>
      <c r="DF67" s="170"/>
      <c r="DG67" s="170"/>
      <c r="DH67" s="170"/>
      <c r="DI67" s="170"/>
      <c r="DJ67" s="170"/>
      <c r="DK67" s="170"/>
      <c r="DL67" s="170"/>
      <c r="DM67" s="170"/>
      <c r="DN67" s="170"/>
      <c r="DO67" s="170"/>
      <c r="DP67" s="170"/>
      <c r="DQ67" s="170"/>
      <c r="DR67" s="170"/>
      <c r="DS67" s="170"/>
      <c r="DT67" s="170"/>
      <c r="DU67" s="170"/>
      <c r="DV67" s="170"/>
      <c r="DW67" s="170"/>
      <c r="DX67" s="170"/>
      <c r="DY67" s="170"/>
      <c r="DZ67" s="170"/>
      <c r="EA67" s="170"/>
      <c r="EB67" s="170"/>
      <c r="EC67" s="170"/>
      <c r="ED67" s="170"/>
      <c r="EE67" s="170"/>
      <c r="EF67" s="170"/>
      <c r="EG67" s="170"/>
      <c r="EH67" s="170"/>
      <c r="EI67" s="170"/>
      <c r="EJ67" s="170"/>
      <c r="EK67" s="170"/>
      <c r="EL67" s="170"/>
      <c r="EM67" s="170"/>
      <c r="EN67" s="170"/>
      <c r="EO67" s="170"/>
      <c r="EP67" s="170"/>
      <c r="EQ67" s="170"/>
      <c r="ER67" s="170"/>
      <c r="ES67" s="170"/>
      <c r="ET67" s="170"/>
      <c r="EU67" s="170"/>
      <c r="EV67" s="170"/>
      <c r="EW67" s="170"/>
      <c r="EX67" s="170"/>
      <c r="EY67" s="170"/>
      <c r="EZ67" s="170"/>
      <c r="FA67" s="170"/>
      <c r="FB67" s="170"/>
      <c r="FC67" s="170"/>
      <c r="FD67" s="170"/>
      <c r="FE67" s="170"/>
      <c r="FF67" s="170"/>
      <c r="FG67" s="170"/>
      <c r="FH67" s="170"/>
      <c r="FI67" s="170"/>
      <c r="FJ67" s="170"/>
      <c r="FK67" s="170"/>
      <c r="FL67" s="170"/>
      <c r="FM67" s="170"/>
      <c r="FN67" s="170"/>
      <c r="FO67" s="170"/>
      <c r="FP67" s="170"/>
      <c r="FQ67" s="170"/>
      <c r="FR67" s="170"/>
      <c r="FS67" s="170"/>
      <c r="FT67" s="170"/>
      <c r="FU67" s="170"/>
      <c r="FV67" s="170"/>
      <c r="FW67" s="170"/>
      <c r="FX67" s="170"/>
      <c r="FY67" s="170"/>
      <c r="FZ67" s="170"/>
      <c r="GA67" s="170"/>
      <c r="GB67" s="170"/>
      <c r="GC67" s="170"/>
      <c r="GD67" s="170"/>
      <c r="GE67" s="170"/>
      <c r="GF67" s="170"/>
      <c r="GG67" s="170"/>
      <c r="GH67" s="170"/>
      <c r="GI67" s="170"/>
      <c r="GJ67" s="170"/>
      <c r="GK67" s="170"/>
      <c r="GL67" s="170"/>
      <c r="GM67" s="170"/>
      <c r="GN67" s="170"/>
      <c r="GO67" s="170"/>
      <c r="GP67" s="170"/>
      <c r="GQ67" s="170"/>
      <c r="GR67" s="170"/>
      <c r="GS67" s="170"/>
      <c r="GT67" s="170"/>
      <c r="GU67" s="170"/>
      <c r="GV67" s="170"/>
      <c r="GW67" s="170"/>
      <c r="GX67" s="170"/>
      <c r="GY67" s="170"/>
      <c r="GZ67" s="170"/>
      <c r="HA67" s="170"/>
      <c r="HB67" s="170"/>
      <c r="HC67" s="170"/>
      <c r="HD67" s="170"/>
      <c r="HE67" s="170"/>
      <c r="HF67" s="170"/>
      <c r="HG67" s="170"/>
      <c r="HH67" s="170"/>
      <c r="HI67" s="170"/>
      <c r="HJ67" s="170"/>
      <c r="HK67" s="170"/>
      <c r="HL67" s="170"/>
      <c r="HM67" s="170"/>
      <c r="HN67" s="170"/>
      <c r="HO67" s="170"/>
      <c r="HP67" s="170"/>
      <c r="HQ67" s="170"/>
      <c r="HR67" s="170"/>
      <c r="HS67" s="170"/>
      <c r="HT67" s="170"/>
      <c r="HU67" s="170"/>
      <c r="HV67" s="170"/>
      <c r="HW67" s="170"/>
      <c r="HX67" s="170"/>
      <c r="HY67" s="170"/>
      <c r="HZ67" s="170"/>
      <c r="IA67" s="170"/>
      <c r="IB67" s="170"/>
      <c r="IC67" s="170"/>
      <c r="ID67" s="170"/>
      <c r="IE67" s="170"/>
      <c r="IF67" s="170"/>
      <c r="IG67" s="170"/>
      <c r="IH67" s="170"/>
      <c r="II67" s="170"/>
      <c r="IJ67" s="170"/>
      <c r="IK67" s="170"/>
      <c r="IL67" s="170"/>
      <c r="IM67" s="170"/>
      <c r="IN67" s="170"/>
      <c r="IO67" s="170"/>
      <c r="IP67" s="170"/>
      <c r="IQ67" s="170"/>
      <c r="IR67" s="170"/>
      <c r="IS67" s="170"/>
      <c r="IT67" s="170"/>
      <c r="IU67" s="170"/>
      <c r="IV67" s="170"/>
      <c r="IW67" s="170"/>
      <c r="IX67" s="170"/>
      <c r="IY67" s="170"/>
      <c r="IZ67" s="170"/>
      <c r="JA67" s="170"/>
      <c r="JB67" s="170"/>
      <c r="JC67" s="170"/>
      <c r="JD67" s="170"/>
      <c r="JE67" s="170"/>
      <c r="JF67" s="170"/>
      <c r="JG67" s="170"/>
      <c r="JH67" s="170"/>
      <c r="JI67" s="170"/>
      <c r="JJ67" s="170"/>
      <c r="JK67" s="170"/>
      <c r="JL67" s="170"/>
      <c r="JM67" s="170"/>
      <c r="JN67" s="170"/>
      <c r="JO67" s="170"/>
      <c r="JP67" s="170"/>
      <c r="JQ67" s="170"/>
      <c r="JR67" s="170"/>
      <c r="JS67" s="170"/>
      <c r="JT67" s="170"/>
      <c r="JU67" s="170"/>
      <c r="JV67" s="170"/>
      <c r="JW67" s="170"/>
      <c r="JX67" s="170"/>
      <c r="JY67" s="170"/>
      <c r="JZ67" s="170"/>
      <c r="KA67" s="170"/>
      <c r="KB67" s="170"/>
      <c r="KC67" s="170"/>
      <c r="KD67" s="170"/>
      <c r="KE67" s="170"/>
      <c r="KF67" s="170"/>
      <c r="KG67" s="170"/>
      <c r="KH67" s="170"/>
      <c r="KI67" s="170"/>
      <c r="KJ67" s="170"/>
      <c r="KK67" s="170"/>
      <c r="KL67" s="170"/>
      <c r="KM67" s="170"/>
      <c r="KN67" s="170"/>
      <c r="KO67" s="170"/>
      <c r="KP67" s="170"/>
      <c r="KQ67" s="170"/>
      <c r="KR67" s="170"/>
      <c r="KS67" s="170"/>
      <c r="KT67" s="170"/>
      <c r="KU67" s="170"/>
      <c r="KV67" s="170"/>
      <c r="KW67" s="170"/>
      <c r="KX67" s="170"/>
      <c r="KY67" s="170"/>
      <c r="KZ67" s="170"/>
      <c r="LA67" s="170"/>
      <c r="LB67" s="170"/>
      <c r="LC67" s="170"/>
      <c r="LD67" s="170"/>
      <c r="LE67" s="170"/>
      <c r="LF67" s="170"/>
      <c r="LG67" s="170"/>
      <c r="LH67" s="170"/>
      <c r="LI67" s="170"/>
      <c r="LJ67" s="170"/>
      <c r="LK67" s="170"/>
      <c r="LL67" s="170"/>
      <c r="LM67" s="170"/>
      <c r="LN67" s="170"/>
      <c r="LO67" s="170"/>
      <c r="LP67" s="170"/>
      <c r="LQ67" s="170"/>
      <c r="LR67" s="170"/>
      <c r="LS67" s="170"/>
      <c r="LT67" s="170"/>
      <c r="LU67" s="170"/>
      <c r="LV67" s="170"/>
      <c r="LW67" s="170"/>
      <c r="LX67" s="170"/>
      <c r="LY67" s="170"/>
      <c r="LZ67" s="170"/>
      <c r="MA67" s="170"/>
      <c r="MB67" s="170"/>
      <c r="MC67" s="170"/>
      <c r="MD67" s="170"/>
      <c r="ME67" s="170"/>
      <c r="MF67" s="170"/>
      <c r="MG67" s="170"/>
      <c r="MH67" s="170"/>
      <c r="MI67" s="170"/>
      <c r="MJ67" s="170"/>
      <c r="MK67" s="170"/>
      <c r="ML67" s="170"/>
      <c r="MM67" s="170"/>
      <c r="MN67" s="170"/>
      <c r="MO67" s="170"/>
      <c r="MP67" s="170"/>
      <c r="MQ67" s="170"/>
      <c r="MR67" s="170"/>
      <c r="MS67" s="170"/>
      <c r="MT67" s="170"/>
      <c r="MU67" s="170"/>
      <c r="MV67" s="170"/>
      <c r="MW67" s="170"/>
      <c r="MX67" s="170"/>
      <c r="MY67" s="170"/>
      <c r="MZ67" s="170"/>
      <c r="NA67" s="170"/>
      <c r="NB67" s="170"/>
      <c r="NC67" s="170"/>
      <c r="ND67" s="170"/>
      <c r="NE67" s="170"/>
      <c r="NF67" s="170"/>
      <c r="NG67" s="170"/>
      <c r="NH67" s="170"/>
      <c r="NI67" s="170"/>
      <c r="NJ67" s="170"/>
      <c r="NK67" s="170"/>
      <c r="NL67" s="170"/>
      <c r="NM67" s="170"/>
      <c r="NN67" s="170"/>
      <c r="NO67" s="170"/>
      <c r="NP67" s="170"/>
      <c r="NQ67" s="170"/>
      <c r="NR67" s="170"/>
      <c r="NS67" s="170"/>
      <c r="NT67" s="170"/>
      <c r="NU67" s="170"/>
      <c r="NV67" s="170"/>
      <c r="NW67" s="170"/>
      <c r="NX67" s="170"/>
      <c r="NY67" s="170"/>
      <c r="NZ67" s="170"/>
      <c r="OA67" s="170"/>
      <c r="OB67" s="170"/>
      <c r="OC67" s="170"/>
      <c r="OD67" s="170"/>
      <c r="OE67" s="170"/>
      <c r="OF67" s="170"/>
      <c r="OG67" s="170"/>
      <c r="OH67" s="170"/>
      <c r="OI67" s="170"/>
      <c r="OJ67" s="170"/>
      <c r="OK67" s="170"/>
      <c r="OL67" s="170"/>
      <c r="OM67" s="170"/>
      <c r="ON67" s="170"/>
      <c r="OO67" s="170"/>
      <c r="OP67" s="170"/>
      <c r="OQ67" s="170"/>
      <c r="OR67" s="170"/>
      <c r="OS67" s="170"/>
      <c r="OT67" s="170"/>
      <c r="OU67" s="170"/>
      <c r="OV67" s="170"/>
      <c r="OW67" s="170"/>
      <c r="OX67" s="170"/>
      <c r="OY67" s="170"/>
      <c r="OZ67" s="170"/>
      <c r="PA67" s="170"/>
      <c r="PB67" s="170"/>
      <c r="PC67" s="170"/>
      <c r="PD67" s="170"/>
      <c r="PE67" s="170"/>
      <c r="PF67" s="170"/>
      <c r="PG67" s="170"/>
      <c r="PH67" s="170"/>
      <c r="PI67" s="170"/>
      <c r="PJ67" s="170"/>
      <c r="PK67" s="170"/>
      <c r="PL67" s="170"/>
      <c r="PM67" s="170"/>
      <c r="PN67" s="170"/>
      <c r="PO67" s="170"/>
      <c r="PP67" s="170"/>
      <c r="PQ67" s="170"/>
      <c r="PR67" s="170"/>
      <c r="PS67" s="170"/>
      <c r="PT67" s="170"/>
      <c r="PU67" s="170"/>
      <c r="PV67" s="170"/>
      <c r="PW67" s="170"/>
      <c r="PX67" s="170"/>
      <c r="PY67" s="170"/>
      <c r="PZ67" s="170"/>
      <c r="QA67" s="170"/>
      <c r="QB67" s="170"/>
      <c r="QC67" s="170"/>
      <c r="QD67" s="170"/>
      <c r="QE67" s="170"/>
      <c r="QF67" s="170"/>
      <c r="QG67" s="170"/>
      <c r="QH67" s="170"/>
      <c r="QI67" s="170"/>
      <c r="QJ67" s="170"/>
      <c r="QK67" s="170"/>
      <c r="QL67" s="170"/>
      <c r="QM67" s="170"/>
      <c r="QN67" s="170"/>
      <c r="QO67" s="170"/>
      <c r="QP67" s="170"/>
      <c r="QQ67" s="170"/>
      <c r="QR67" s="170"/>
      <c r="QS67" s="170"/>
      <c r="QT67" s="170"/>
      <c r="QU67" s="170"/>
      <c r="QV67" s="170"/>
      <c r="QW67" s="170"/>
      <c r="QX67" s="170"/>
      <c r="QY67" s="170"/>
      <c r="QZ67" s="170"/>
      <c r="RA67" s="170"/>
      <c r="RB67" s="170"/>
      <c r="RC67" s="170"/>
      <c r="RD67" s="170"/>
      <c r="RE67" s="170"/>
      <c r="RF67" s="170"/>
      <c r="RG67" s="170"/>
      <c r="RH67" s="170"/>
      <c r="RI67" s="170"/>
      <c r="RJ67" s="170"/>
      <c r="RK67" s="170"/>
      <c r="RL67" s="170"/>
      <c r="RM67" s="170"/>
      <c r="RN67" s="170"/>
      <c r="RO67" s="170"/>
      <c r="RP67" s="170"/>
      <c r="RQ67" s="170"/>
      <c r="RR67" s="170"/>
      <c r="RS67" s="170"/>
      <c r="RT67" s="170"/>
      <c r="RU67" s="170"/>
      <c r="RV67" s="170"/>
      <c r="RW67" s="170"/>
      <c r="RX67" s="170"/>
      <c r="RY67" s="170"/>
      <c r="RZ67" s="170"/>
      <c r="SA67" s="170"/>
      <c r="SB67" s="170"/>
      <c r="SC67" s="170"/>
      <c r="SD67" s="170"/>
      <c r="SE67" s="170"/>
      <c r="SF67" s="170"/>
      <c r="SG67" s="170"/>
      <c r="SH67" s="170"/>
      <c r="SI67" s="170"/>
      <c r="SJ67" s="170"/>
      <c r="SK67" s="170"/>
      <c r="SL67" s="170"/>
      <c r="SM67" s="170"/>
      <c r="SN67" s="170"/>
      <c r="SO67" s="170"/>
      <c r="SP67" s="170"/>
      <c r="SQ67" s="170"/>
      <c r="SR67" s="170"/>
      <c r="SS67" s="170"/>
      <c r="ST67" s="170"/>
      <c r="SU67" s="170"/>
      <c r="SV67" s="170"/>
      <c r="SW67" s="170"/>
      <c r="SX67" s="170"/>
      <c r="SY67" s="170"/>
      <c r="SZ67" s="170"/>
      <c r="TA67" s="170"/>
      <c r="TB67" s="170"/>
      <c r="TC67" s="170"/>
      <c r="TD67" s="170"/>
      <c r="TE67" s="170"/>
      <c r="TF67" s="170"/>
      <c r="TG67" s="170"/>
      <c r="TH67" s="170"/>
      <c r="TI67" s="170"/>
      <c r="TJ67" s="170"/>
      <c r="TK67" s="170"/>
      <c r="TL67" s="170"/>
      <c r="TM67" s="170"/>
      <c r="TN67" s="170"/>
      <c r="TO67" s="170"/>
      <c r="TP67" s="170"/>
      <c r="TQ67" s="170"/>
      <c r="TR67" s="170"/>
      <c r="TS67" s="170"/>
      <c r="TT67" s="170"/>
      <c r="TU67" s="170"/>
      <c r="TV67" s="170"/>
      <c r="TW67" s="170"/>
      <c r="TX67" s="170"/>
      <c r="TY67" s="170"/>
      <c r="TZ67" s="170"/>
      <c r="UA67" s="170"/>
      <c r="UB67" s="170"/>
      <c r="UC67" s="170"/>
      <c r="UD67" s="170"/>
      <c r="UE67" s="170"/>
      <c r="UF67" s="170"/>
      <c r="UG67" s="170"/>
      <c r="UH67" s="170"/>
      <c r="UI67" s="170"/>
      <c r="UJ67" s="170"/>
      <c r="UK67" s="170"/>
      <c r="UL67" s="170"/>
      <c r="UM67" s="170"/>
      <c r="UN67" s="170"/>
      <c r="UO67" s="170"/>
      <c r="UP67" s="170"/>
      <c r="UQ67" s="170"/>
      <c r="UR67" s="170"/>
      <c r="US67" s="170"/>
      <c r="UT67" s="170"/>
      <c r="UU67" s="170"/>
      <c r="UV67" s="170"/>
      <c r="UW67" s="170"/>
      <c r="UX67" s="170"/>
      <c r="UY67" s="170"/>
      <c r="UZ67" s="170"/>
      <c r="VA67" s="170"/>
      <c r="VB67" s="170"/>
      <c r="VC67" s="170"/>
      <c r="VD67" s="170"/>
      <c r="VE67" s="170"/>
      <c r="VF67" s="170"/>
      <c r="VG67" s="170"/>
      <c r="VH67" s="170"/>
      <c r="VI67" s="170"/>
      <c r="VJ67" s="170"/>
      <c r="VK67" s="170"/>
      <c r="VL67" s="170"/>
      <c r="VM67" s="170"/>
      <c r="VN67" s="170"/>
      <c r="VO67" s="170"/>
      <c r="VP67" s="170"/>
      <c r="VQ67" s="170"/>
      <c r="VR67" s="170"/>
      <c r="VS67" s="170"/>
      <c r="VT67" s="170"/>
      <c r="VU67" s="170"/>
      <c r="VV67" s="170"/>
      <c r="VW67" s="170"/>
      <c r="VX67" s="170"/>
      <c r="VY67" s="170"/>
      <c r="VZ67" s="170"/>
      <c r="WA67" s="170"/>
      <c r="WB67" s="170"/>
      <c r="WC67" s="170"/>
      <c r="WD67" s="170"/>
      <c r="WE67" s="170"/>
      <c r="WF67" s="170"/>
      <c r="WG67" s="170"/>
      <c r="WH67" s="170"/>
      <c r="WI67" s="170"/>
      <c r="WJ67" s="170"/>
      <c r="WK67" s="170"/>
      <c r="WL67" s="170"/>
      <c r="WM67" s="170"/>
      <c r="WN67" s="170"/>
      <c r="WO67" s="170"/>
      <c r="WP67" s="170"/>
      <c r="WQ67" s="170"/>
      <c r="WR67" s="170"/>
      <c r="WS67" s="170"/>
      <c r="WT67" s="170"/>
      <c r="WU67" s="170"/>
      <c r="WV67" s="170"/>
      <c r="WW67" s="170"/>
      <c r="WX67" s="170"/>
      <c r="WY67" s="170"/>
      <c r="WZ67" s="170"/>
      <c r="XA67" s="170"/>
      <c r="XB67" s="170"/>
      <c r="XC67" s="170"/>
      <c r="XD67" s="170"/>
      <c r="XE67" s="170"/>
      <c r="XF67" s="170"/>
      <c r="XG67" s="170"/>
      <c r="XH67" s="170"/>
      <c r="XI67" s="170"/>
      <c r="XJ67" s="170"/>
      <c r="XK67" s="170"/>
      <c r="XL67" s="170"/>
      <c r="XM67" s="170"/>
      <c r="XN67" s="170"/>
      <c r="XO67" s="170"/>
      <c r="XP67" s="170"/>
      <c r="XQ67" s="170"/>
      <c r="XR67" s="170"/>
      <c r="XS67" s="170"/>
      <c r="XT67" s="170"/>
      <c r="XU67" s="170"/>
      <c r="XV67" s="170"/>
      <c r="XW67" s="170"/>
      <c r="XX67" s="170"/>
      <c r="XY67" s="170"/>
      <c r="XZ67" s="170"/>
      <c r="YA67" s="170"/>
      <c r="YB67" s="170"/>
      <c r="YC67" s="170"/>
      <c r="YD67" s="170"/>
      <c r="YE67" s="170"/>
      <c r="YF67" s="170"/>
      <c r="YG67" s="170"/>
      <c r="YH67" s="170"/>
      <c r="YI67" s="170"/>
      <c r="YJ67" s="170"/>
      <c r="YK67" s="170"/>
      <c r="YL67" s="170"/>
      <c r="YM67" s="170"/>
      <c r="YN67" s="170"/>
      <c r="YO67" s="170"/>
      <c r="YP67" s="170"/>
      <c r="YQ67" s="170"/>
      <c r="YR67" s="170"/>
      <c r="YS67" s="170"/>
      <c r="YT67" s="170"/>
      <c r="YU67" s="170"/>
      <c r="YV67" s="170"/>
      <c r="YW67" s="170"/>
      <c r="YX67" s="170"/>
      <c r="YY67" s="170"/>
      <c r="YZ67" s="170"/>
      <c r="ZA67" s="170"/>
      <c r="ZB67" s="170"/>
      <c r="ZC67" s="170"/>
      <c r="ZD67" s="170"/>
      <c r="ZE67" s="170"/>
      <c r="ZF67" s="170"/>
      <c r="ZG67" s="170"/>
      <c r="ZH67" s="170"/>
      <c r="ZI67" s="170"/>
      <c r="ZJ67" s="170"/>
      <c r="ZK67" s="170"/>
      <c r="ZL67" s="170"/>
      <c r="ZM67" s="170"/>
      <c r="ZN67" s="170"/>
      <c r="ZO67" s="170"/>
      <c r="ZP67" s="170"/>
      <c r="ZQ67" s="170"/>
      <c r="ZR67" s="170"/>
      <c r="ZS67" s="170"/>
      <c r="ZT67" s="170"/>
      <c r="ZU67" s="170"/>
      <c r="ZV67" s="170"/>
      <c r="ZW67" s="170"/>
      <c r="ZX67" s="170"/>
      <c r="ZY67" s="170"/>
      <c r="ZZ67" s="170"/>
      <c r="AAA67" s="170"/>
      <c r="AAB67" s="170"/>
      <c r="AAC67" s="170"/>
      <c r="AAD67" s="170"/>
      <c r="AAE67" s="170"/>
      <c r="AAF67" s="170"/>
      <c r="AAG67" s="170"/>
      <c r="AAH67" s="170"/>
      <c r="AAI67" s="170"/>
      <c r="AAJ67" s="170"/>
      <c r="AAK67" s="170"/>
      <c r="AAL67" s="170"/>
      <c r="AAM67" s="170"/>
      <c r="AAN67" s="170"/>
      <c r="AAO67" s="170"/>
      <c r="AAP67" s="170"/>
      <c r="AAQ67" s="170"/>
      <c r="AAR67" s="170"/>
      <c r="AAS67" s="170"/>
      <c r="AAT67" s="170"/>
      <c r="AAU67" s="170"/>
      <c r="AAV67" s="170"/>
      <c r="AAW67" s="170"/>
      <c r="AAX67" s="170"/>
      <c r="AAY67" s="170"/>
      <c r="AAZ67" s="170"/>
      <c r="ABA67" s="170"/>
      <c r="ABB67" s="170"/>
      <c r="ABC67" s="170"/>
      <c r="ABD67" s="170"/>
      <c r="ABE67" s="170"/>
      <c r="ABF67" s="170"/>
      <c r="ABG67" s="170"/>
      <c r="ABH67" s="170"/>
      <c r="ABI67" s="170"/>
      <c r="ABJ67" s="170"/>
      <c r="ABK67" s="170"/>
      <c r="ABL67" s="170"/>
      <c r="ABM67" s="170"/>
      <c r="ABN67" s="170"/>
      <c r="ABO67" s="170"/>
      <c r="ABP67" s="170"/>
      <c r="ABQ67" s="170"/>
      <c r="ABR67" s="170"/>
      <c r="ABS67" s="170"/>
      <c r="ABT67" s="170"/>
      <c r="ABU67" s="170"/>
      <c r="ABV67" s="170"/>
      <c r="ABW67" s="170"/>
      <c r="ABX67" s="170"/>
      <c r="ABY67" s="170"/>
      <c r="ABZ67" s="170"/>
      <c r="ACA67" s="170"/>
      <c r="ACB67" s="170"/>
      <c r="ACC67" s="170"/>
      <c r="ACD67" s="170"/>
      <c r="ACE67" s="170"/>
      <c r="ACF67" s="170"/>
      <c r="ACG67" s="170"/>
      <c r="ACH67" s="170"/>
      <c r="ACI67" s="170"/>
      <c r="ACJ67" s="170"/>
      <c r="ACK67" s="170"/>
      <c r="ACL67" s="170"/>
      <c r="ACM67" s="170"/>
      <c r="ACN67" s="170"/>
      <c r="ACO67" s="170"/>
      <c r="ACP67" s="170"/>
      <c r="ACQ67" s="170"/>
      <c r="ACR67" s="170"/>
      <c r="ACS67" s="170"/>
      <c r="ACT67" s="170"/>
      <c r="ACU67" s="170"/>
      <c r="ACV67" s="170"/>
      <c r="ACW67" s="170"/>
      <c r="ACX67" s="170"/>
      <c r="ACY67" s="170"/>
      <c r="ACZ67" s="170"/>
      <c r="ADA67" s="170"/>
      <c r="ADB67" s="170"/>
      <c r="ADC67" s="170"/>
      <c r="ADD67" s="170"/>
      <c r="ADE67" s="170"/>
      <c r="ADF67" s="170"/>
      <c r="ADG67" s="170"/>
      <c r="ADH67" s="170"/>
      <c r="ADI67" s="170"/>
      <c r="ADJ67" s="170"/>
      <c r="ADK67" s="170"/>
      <c r="ADL67" s="170"/>
      <c r="ADM67" s="170"/>
      <c r="ADN67" s="170"/>
      <c r="ADO67" s="170"/>
      <c r="ADP67" s="170"/>
      <c r="ADQ67" s="170"/>
      <c r="ADR67" s="170"/>
      <c r="ADS67" s="170"/>
      <c r="ADT67" s="170"/>
      <c r="ADU67" s="170"/>
      <c r="ADV67" s="170"/>
      <c r="ADW67" s="170"/>
      <c r="ADX67" s="170"/>
      <c r="ADY67" s="170"/>
      <c r="ADZ67" s="170"/>
      <c r="AEA67" s="170"/>
      <c r="AEB67" s="170"/>
      <c r="AEC67" s="170"/>
      <c r="AED67" s="170"/>
      <c r="AEE67" s="170"/>
      <c r="AEF67" s="170"/>
      <c r="AEG67" s="170"/>
      <c r="AEH67" s="170"/>
      <c r="AEI67" s="170"/>
      <c r="AEJ67" s="170"/>
      <c r="AEK67" s="170"/>
      <c r="AEL67" s="170"/>
      <c r="AEM67" s="170"/>
      <c r="AEN67" s="170"/>
      <c r="AEO67" s="170"/>
      <c r="AEP67" s="170"/>
      <c r="AEQ67" s="170"/>
      <c r="AER67" s="170"/>
      <c r="AES67" s="170"/>
      <c r="AET67" s="170"/>
      <c r="AEU67" s="170"/>
      <c r="AEV67" s="170"/>
      <c r="AEW67" s="170"/>
      <c r="AEX67" s="170"/>
      <c r="AEY67" s="170"/>
      <c r="AEZ67" s="170"/>
      <c r="AFA67" s="170"/>
      <c r="AFB67" s="170"/>
      <c r="AFC67" s="170"/>
      <c r="AFD67" s="170"/>
      <c r="AFE67" s="170"/>
      <c r="AFF67" s="170"/>
      <c r="AFG67" s="170"/>
      <c r="AFH67" s="170"/>
      <c r="AFI67" s="170"/>
      <c r="AFJ67" s="170"/>
      <c r="AFK67" s="170"/>
      <c r="AFL67" s="170"/>
      <c r="AFM67" s="170"/>
      <c r="AFN67" s="170"/>
      <c r="AFO67" s="170"/>
      <c r="AFP67" s="170"/>
      <c r="AFQ67" s="170"/>
      <c r="AFR67" s="170"/>
      <c r="AFS67" s="170"/>
      <c r="AFT67" s="170"/>
      <c r="AFU67" s="170"/>
      <c r="AFV67" s="170"/>
      <c r="AFW67" s="170"/>
      <c r="AFX67" s="170"/>
      <c r="AFY67" s="170"/>
      <c r="AFZ67" s="170"/>
      <c r="AGA67" s="170"/>
      <c r="AGB67" s="170"/>
      <c r="AGC67" s="170"/>
      <c r="AGD67" s="170"/>
      <c r="AGE67" s="170"/>
      <c r="AGF67" s="170"/>
      <c r="AGG67" s="170"/>
      <c r="AGH67" s="170"/>
      <c r="AGI67" s="170"/>
      <c r="AGJ67" s="170"/>
      <c r="AGK67" s="170"/>
      <c r="AGL67" s="170"/>
      <c r="AGM67" s="170"/>
      <c r="AGN67" s="170"/>
      <c r="AGO67" s="170"/>
      <c r="AGP67" s="170"/>
      <c r="AGQ67" s="170"/>
      <c r="AGR67" s="170"/>
      <c r="AGS67" s="170"/>
      <c r="AGT67" s="170"/>
      <c r="AGU67" s="170"/>
      <c r="AGV67" s="170"/>
      <c r="AGW67" s="170"/>
      <c r="AGX67" s="170"/>
      <c r="AGY67" s="170"/>
      <c r="AGZ67" s="170"/>
      <c r="AHA67" s="170"/>
      <c r="AHB67" s="170"/>
      <c r="AHC67" s="170"/>
      <c r="AHD67" s="170"/>
      <c r="AHE67" s="170"/>
      <c r="AHF67" s="170"/>
      <c r="AHG67" s="170"/>
      <c r="AHH67" s="170"/>
      <c r="AHI67" s="170"/>
      <c r="AHJ67" s="170"/>
      <c r="AHK67" s="170"/>
      <c r="AHL67" s="170"/>
      <c r="AHM67" s="170"/>
      <c r="AHN67" s="170"/>
      <c r="AHO67" s="170"/>
      <c r="AHP67" s="170"/>
      <c r="AHQ67" s="170"/>
      <c r="AHR67" s="170"/>
      <c r="AHS67" s="170"/>
      <c r="AHT67" s="170"/>
      <c r="AHU67" s="170"/>
      <c r="AHV67" s="170"/>
      <c r="AHW67" s="170"/>
      <c r="AHX67" s="170"/>
      <c r="AHY67" s="170"/>
      <c r="AHZ67" s="170"/>
      <c r="AIA67" s="170"/>
      <c r="AIB67" s="170"/>
      <c r="AIC67" s="170"/>
      <c r="AID67" s="170"/>
      <c r="AIE67" s="170"/>
      <c r="AIF67" s="170"/>
      <c r="AIG67" s="170"/>
      <c r="AIH67" s="170"/>
      <c r="AII67" s="170"/>
      <c r="AIJ67" s="170"/>
      <c r="AIK67" s="170"/>
      <c r="AIL67" s="170"/>
      <c r="AIM67" s="170"/>
      <c r="AIN67" s="170"/>
      <c r="AIO67" s="170"/>
      <c r="AIP67" s="170"/>
      <c r="AIQ67" s="170"/>
      <c r="AIR67" s="170"/>
      <c r="AIS67" s="170"/>
      <c r="AIT67" s="170"/>
      <c r="AIU67" s="170"/>
      <c r="AIV67" s="170"/>
      <c r="AIW67" s="170"/>
      <c r="AIX67" s="170"/>
      <c r="AIY67" s="170"/>
      <c r="AIZ67" s="170"/>
      <c r="AJA67" s="170"/>
      <c r="AJB67" s="170"/>
      <c r="AJC67" s="170"/>
      <c r="AJD67" s="170"/>
      <c r="AJE67" s="170"/>
      <c r="AJF67" s="170"/>
      <c r="AJG67" s="170"/>
      <c r="AJH67" s="170"/>
      <c r="AJI67" s="170"/>
      <c r="AJJ67" s="170"/>
      <c r="AJK67" s="170"/>
      <c r="AJL67" s="170"/>
      <c r="AJM67" s="170"/>
      <c r="AJN67" s="170"/>
      <c r="AJO67" s="170"/>
      <c r="AJP67" s="170"/>
      <c r="AJQ67" s="170"/>
      <c r="AJR67" s="170"/>
      <c r="AJS67" s="170"/>
      <c r="AJT67" s="170"/>
      <c r="AJU67" s="170"/>
      <c r="AJV67" s="170"/>
      <c r="AJW67" s="170"/>
      <c r="AJX67" s="170"/>
      <c r="AJY67" s="170"/>
      <c r="AJZ67" s="170"/>
      <c r="AKA67" s="170"/>
      <c r="AKB67" s="170"/>
      <c r="AKC67" s="170"/>
      <c r="AKD67" s="170"/>
      <c r="AKE67" s="170"/>
      <c r="AKF67" s="170"/>
      <c r="AKG67" s="170"/>
      <c r="AKH67" s="170"/>
      <c r="AKI67" s="170"/>
      <c r="AKJ67" s="170"/>
      <c r="AKK67" s="170"/>
      <c r="AKL67" s="170"/>
      <c r="AKM67" s="170"/>
      <c r="AKN67" s="170"/>
      <c r="AKO67" s="170"/>
      <c r="AKP67" s="170"/>
      <c r="AKQ67" s="170"/>
      <c r="AKR67" s="170"/>
      <c r="AKS67" s="170"/>
      <c r="AKT67" s="170"/>
      <c r="AKU67" s="170"/>
      <c r="AKV67" s="170"/>
      <c r="AKW67" s="170"/>
      <c r="AKX67" s="170"/>
      <c r="AKY67" s="170"/>
      <c r="AKZ67" s="170"/>
      <c r="ALA67" s="170"/>
      <c r="ALB67" s="170"/>
      <c r="ALC67" s="170"/>
      <c r="ALD67" s="170"/>
      <c r="ALE67" s="170"/>
      <c r="ALF67" s="170"/>
      <c r="ALG67" s="170"/>
      <c r="ALH67" s="170"/>
      <c r="ALI67" s="170"/>
      <c r="ALJ67" s="170"/>
      <c r="ALK67" s="170"/>
      <c r="ALL67" s="170"/>
      <c r="ALM67" s="170"/>
      <c r="ALN67" s="170"/>
      <c r="ALO67" s="170"/>
      <c r="ALP67" s="170"/>
      <c r="ALQ67" s="170"/>
      <c r="ALR67" s="170"/>
      <c r="ALS67" s="170"/>
      <c r="ALT67" s="170"/>
      <c r="ALU67" s="170"/>
      <c r="ALV67" s="170"/>
      <c r="ALW67" s="170"/>
      <c r="ALX67" s="170"/>
      <c r="ALY67" s="170"/>
      <c r="ALZ67" s="170"/>
      <c r="AMA67" s="170"/>
      <c r="AMB67" s="170"/>
      <c r="AMC67" s="170"/>
      <c r="AMD67" s="170"/>
      <c r="AME67" s="170"/>
      <c r="AMF67" s="170"/>
      <c r="AMG67" s="170"/>
      <c r="AMH67" s="170"/>
      <c r="AMI67" s="170"/>
      <c r="AMJ67" s="170"/>
      <c r="AMK67" s="170"/>
      <c r="AML67" s="170"/>
      <c r="AMM67" s="170"/>
      <c r="AMN67" s="170"/>
      <c r="AMO67" s="170"/>
      <c r="AMP67" s="170"/>
      <c r="AMQ67" s="170"/>
      <c r="AMR67" s="170"/>
      <c r="AMS67" s="170"/>
      <c r="AMT67" s="170"/>
      <c r="AMU67" s="170"/>
      <c r="AMV67" s="170"/>
      <c r="AMW67" s="170"/>
      <c r="AMX67" s="170"/>
      <c r="AMY67" s="170"/>
      <c r="AMZ67" s="170"/>
      <c r="ANA67" s="170"/>
      <c r="ANB67" s="170"/>
      <c r="ANC67" s="170"/>
      <c r="AND67" s="170"/>
      <c r="ANE67" s="170"/>
      <c r="ANF67" s="170"/>
      <c r="ANG67" s="170"/>
      <c r="ANH67" s="170"/>
      <c r="ANI67" s="170"/>
      <c r="ANJ67" s="170"/>
      <c r="ANK67" s="170"/>
      <c r="ANL67" s="170"/>
      <c r="ANM67" s="170"/>
      <c r="ANN67" s="170"/>
      <c r="ANO67" s="170"/>
      <c r="ANP67" s="170"/>
      <c r="ANQ67" s="170"/>
      <c r="ANR67" s="170"/>
      <c r="ANS67" s="170"/>
      <c r="ANT67" s="170"/>
      <c r="ANU67" s="170"/>
      <c r="ANV67" s="170"/>
      <c r="ANW67" s="170"/>
      <c r="ANX67" s="170"/>
      <c r="ANY67" s="170"/>
      <c r="ANZ67" s="170"/>
      <c r="AOA67" s="170"/>
      <c r="AOB67" s="170"/>
      <c r="AOC67" s="170"/>
      <c r="AOD67" s="170"/>
      <c r="AOE67" s="170"/>
      <c r="AOF67" s="170"/>
      <c r="AOG67" s="170"/>
      <c r="AOH67" s="170"/>
      <c r="AOI67" s="170"/>
      <c r="AOJ67" s="170"/>
      <c r="AOK67" s="170"/>
      <c r="AOL67" s="170"/>
      <c r="AOM67" s="170"/>
      <c r="AON67" s="170"/>
      <c r="AOO67" s="170"/>
      <c r="AOP67" s="170"/>
      <c r="AOQ67" s="170"/>
      <c r="AOR67" s="170"/>
      <c r="AOS67" s="170"/>
      <c r="AOT67" s="170"/>
      <c r="AOU67" s="170"/>
      <c r="AOV67" s="170"/>
      <c r="AOW67" s="170"/>
      <c r="AOX67" s="170"/>
      <c r="AOY67" s="170"/>
      <c r="AOZ67" s="170"/>
      <c r="APA67" s="170"/>
      <c r="APB67" s="170"/>
      <c r="APC67" s="170"/>
      <c r="APD67" s="170"/>
      <c r="APE67" s="170"/>
      <c r="APF67" s="170"/>
      <c r="APG67" s="170"/>
      <c r="APH67" s="170"/>
      <c r="API67" s="170"/>
      <c r="APJ67" s="170"/>
      <c r="APK67" s="170"/>
      <c r="APL67" s="170"/>
      <c r="APM67" s="170"/>
      <c r="APN67" s="170"/>
      <c r="APO67" s="170"/>
      <c r="APP67" s="170"/>
      <c r="APQ67" s="170"/>
      <c r="APR67" s="170"/>
      <c r="APS67" s="170"/>
      <c r="APT67" s="170"/>
      <c r="APU67" s="170"/>
      <c r="APV67" s="170"/>
      <c r="APW67" s="170"/>
      <c r="APX67" s="170"/>
      <c r="APY67" s="170"/>
      <c r="APZ67" s="170"/>
      <c r="AQA67" s="170"/>
      <c r="AQB67" s="170"/>
      <c r="AQC67" s="170"/>
      <c r="AQD67" s="170"/>
      <c r="AQE67" s="170"/>
      <c r="AQF67" s="170"/>
      <c r="AQG67" s="170"/>
      <c r="AQH67" s="170"/>
      <c r="AQI67" s="170"/>
      <c r="AQJ67" s="170"/>
      <c r="AQK67" s="170"/>
      <c r="AQL67" s="170"/>
      <c r="AQM67" s="170"/>
      <c r="AQN67" s="170"/>
      <c r="AQO67" s="170"/>
      <c r="AQP67" s="170"/>
      <c r="AQQ67" s="170"/>
      <c r="AQR67" s="170"/>
      <c r="AQS67" s="170"/>
      <c r="AQT67" s="170"/>
      <c r="AQU67" s="170"/>
      <c r="AQV67" s="170"/>
      <c r="AQW67" s="170"/>
      <c r="AQX67" s="170"/>
      <c r="AQY67" s="170"/>
      <c r="AQZ67" s="170"/>
      <c r="ARA67" s="170"/>
      <c r="ARB67" s="170"/>
      <c r="ARC67" s="170"/>
      <c r="ARD67" s="170"/>
      <c r="ARE67" s="170"/>
      <c r="ARF67" s="170"/>
      <c r="ARG67" s="170"/>
      <c r="ARH67" s="170"/>
      <c r="ARI67" s="170"/>
      <c r="ARJ67" s="170"/>
      <c r="ARK67" s="170"/>
      <c r="ARL67" s="170"/>
      <c r="ARM67" s="170"/>
      <c r="ARN67" s="170"/>
      <c r="ARO67" s="170"/>
      <c r="ARP67" s="170"/>
      <c r="ARQ67" s="170"/>
      <c r="ARR67" s="170"/>
      <c r="ARS67" s="170"/>
      <c r="ART67" s="170"/>
      <c r="ARU67" s="170"/>
      <c r="ARV67" s="170"/>
      <c r="ARW67" s="170"/>
      <c r="ARX67" s="170"/>
      <c r="ARY67" s="170"/>
      <c r="ARZ67" s="170"/>
      <c r="ASA67" s="170"/>
      <c r="ASB67" s="170"/>
      <c r="ASC67" s="170"/>
      <c r="ASD67" s="170"/>
      <c r="ASE67" s="170"/>
      <c r="ASF67" s="170"/>
      <c r="ASG67" s="170"/>
      <c r="ASH67" s="170"/>
      <c r="ASI67" s="170"/>
      <c r="ASJ67" s="170"/>
      <c r="ASK67" s="170"/>
      <c r="ASL67" s="170"/>
      <c r="ASM67" s="170"/>
      <c r="ASN67" s="170"/>
      <c r="ASO67" s="170"/>
      <c r="ASP67" s="170"/>
      <c r="ASQ67" s="170"/>
      <c r="ASR67" s="170"/>
      <c r="ASS67" s="170"/>
      <c r="AST67" s="170"/>
      <c r="ASU67" s="170"/>
      <c r="ASV67" s="170"/>
      <c r="ASW67" s="170"/>
      <c r="ASX67" s="170"/>
      <c r="ASY67" s="170"/>
      <c r="ASZ67" s="170"/>
      <c r="ATA67" s="170"/>
      <c r="ATB67" s="170"/>
      <c r="ATC67" s="170"/>
      <c r="ATD67" s="170"/>
      <c r="ATE67" s="170"/>
      <c r="ATF67" s="170"/>
      <c r="ATG67" s="170"/>
      <c r="ATH67" s="170"/>
      <c r="ATI67" s="170"/>
      <c r="ATJ67" s="170"/>
      <c r="ATK67" s="170"/>
      <c r="ATL67" s="170"/>
      <c r="ATM67" s="170"/>
      <c r="ATN67" s="170"/>
      <c r="ATO67" s="170"/>
      <c r="ATP67" s="170"/>
      <c r="ATQ67" s="170"/>
      <c r="ATR67" s="170"/>
      <c r="ATS67" s="170"/>
      <c r="ATT67" s="170"/>
      <c r="ATU67" s="170"/>
      <c r="ATV67" s="170"/>
      <c r="ATW67" s="170"/>
      <c r="ATX67" s="170"/>
      <c r="ATY67" s="170"/>
      <c r="ATZ67" s="170"/>
      <c r="AUA67" s="170"/>
      <c r="AUB67" s="170"/>
      <c r="AUC67" s="170"/>
      <c r="AUD67" s="170"/>
      <c r="AUE67" s="170"/>
      <c r="AUF67" s="170"/>
      <c r="AUG67" s="170"/>
      <c r="AUH67" s="170"/>
      <c r="AUI67" s="170"/>
      <c r="AUJ67" s="170"/>
      <c r="AUK67" s="170"/>
      <c r="AUL67" s="170"/>
      <c r="AUM67" s="170"/>
      <c r="AUN67" s="170"/>
      <c r="AUO67" s="170"/>
      <c r="AUP67" s="170"/>
      <c r="AUQ67" s="170"/>
      <c r="AUR67" s="170"/>
      <c r="AUS67" s="170"/>
      <c r="AUT67" s="170"/>
      <c r="AUU67" s="170"/>
      <c r="AUV67" s="170"/>
      <c r="AUW67" s="170"/>
      <c r="AUX67" s="170"/>
      <c r="AUY67" s="170"/>
      <c r="AUZ67" s="170"/>
      <c r="AVA67" s="170"/>
      <c r="AVB67" s="170"/>
      <c r="AVC67" s="170"/>
      <c r="AVD67" s="170"/>
      <c r="AVE67" s="170"/>
      <c r="AVF67" s="170"/>
      <c r="AVG67" s="170"/>
      <c r="AVH67" s="170"/>
      <c r="AVI67" s="170"/>
      <c r="AVJ67" s="170"/>
      <c r="AVK67" s="170"/>
      <c r="AVL67" s="170"/>
      <c r="AVM67" s="170"/>
      <c r="AVN67" s="170"/>
      <c r="AVO67" s="170"/>
      <c r="AVP67" s="170"/>
      <c r="AVQ67" s="170"/>
      <c r="AVR67" s="170"/>
      <c r="AVS67" s="170"/>
      <c r="AVT67" s="170"/>
      <c r="AVU67" s="170"/>
      <c r="AVV67" s="170"/>
      <c r="AVW67" s="170"/>
      <c r="AVX67" s="170"/>
      <c r="AVY67" s="170"/>
      <c r="AVZ67" s="170"/>
      <c r="AWA67" s="170"/>
      <c r="AWB67" s="170"/>
      <c r="AWC67" s="170"/>
      <c r="AWD67" s="170"/>
      <c r="AWE67" s="170"/>
      <c r="AWF67" s="170"/>
      <c r="AWG67" s="170"/>
      <c r="AWH67" s="170"/>
      <c r="AWI67" s="170"/>
      <c r="AWJ67" s="170"/>
      <c r="AWK67" s="170"/>
      <c r="AWL67" s="170"/>
      <c r="AWM67" s="170"/>
      <c r="AWN67" s="170"/>
      <c r="AWO67" s="170"/>
      <c r="AWP67" s="170"/>
      <c r="AWQ67" s="170"/>
      <c r="AWR67" s="170"/>
      <c r="AWS67" s="170"/>
      <c r="AWT67" s="170"/>
      <c r="AWU67" s="170"/>
      <c r="AWV67" s="170"/>
      <c r="AWW67" s="170"/>
      <c r="AWX67" s="170"/>
      <c r="AWY67" s="170"/>
      <c r="AWZ67" s="170"/>
      <c r="AXA67" s="170"/>
      <c r="AXB67" s="170"/>
      <c r="AXC67" s="170"/>
      <c r="AXD67" s="170"/>
      <c r="AXE67" s="170"/>
      <c r="AXF67" s="170"/>
      <c r="AXG67" s="170"/>
      <c r="AXH67" s="170"/>
      <c r="AXI67" s="170"/>
      <c r="AXJ67" s="170"/>
      <c r="AXK67" s="170"/>
      <c r="AXL67" s="170"/>
      <c r="AXM67" s="170"/>
      <c r="AXN67" s="170"/>
      <c r="AXO67" s="170"/>
      <c r="AXP67" s="170"/>
      <c r="AXQ67" s="170"/>
      <c r="AXR67" s="170"/>
      <c r="AXS67" s="170"/>
      <c r="AXT67" s="170"/>
      <c r="AXU67" s="170"/>
      <c r="AXV67" s="170"/>
      <c r="AXW67" s="170"/>
      <c r="AXX67" s="170"/>
      <c r="AXY67" s="170"/>
      <c r="AXZ67" s="170"/>
      <c r="AYA67" s="170"/>
      <c r="AYB67" s="170"/>
      <c r="AYC67" s="170"/>
      <c r="AYD67" s="170"/>
      <c r="AYE67" s="170"/>
      <c r="AYF67" s="170"/>
      <c r="AYG67" s="170"/>
      <c r="AYH67" s="170"/>
      <c r="AYI67" s="170"/>
      <c r="AYJ67" s="170"/>
      <c r="AYK67" s="170"/>
      <c r="AYL67" s="170"/>
      <c r="AYM67" s="170"/>
      <c r="AYN67" s="170"/>
      <c r="AYO67" s="170"/>
      <c r="AYP67" s="170"/>
      <c r="AYQ67" s="170"/>
      <c r="AYR67" s="170"/>
      <c r="AYS67" s="170"/>
      <c r="AYT67" s="170"/>
      <c r="AYU67" s="170"/>
      <c r="AYV67" s="170"/>
      <c r="AYW67" s="170"/>
      <c r="AYX67" s="170"/>
      <c r="AYY67" s="170"/>
      <c r="AYZ67" s="170"/>
      <c r="AZA67" s="170"/>
      <c r="AZB67" s="170"/>
      <c r="AZC67" s="170"/>
      <c r="AZD67" s="170"/>
      <c r="AZE67" s="170"/>
      <c r="AZF67" s="170"/>
      <c r="AZG67" s="170"/>
      <c r="AZH67" s="170"/>
      <c r="AZI67" s="170"/>
      <c r="AZJ67" s="170"/>
      <c r="AZK67" s="170"/>
      <c r="AZL67" s="170"/>
      <c r="AZM67" s="170"/>
      <c r="AZN67" s="170"/>
      <c r="AZO67" s="170"/>
      <c r="AZP67" s="170"/>
      <c r="AZQ67" s="170"/>
      <c r="AZR67" s="170"/>
      <c r="AZS67" s="170"/>
      <c r="AZT67" s="170"/>
      <c r="AZU67" s="170"/>
      <c r="AZV67" s="170"/>
      <c r="AZW67" s="170"/>
      <c r="AZX67" s="170"/>
      <c r="AZY67" s="170"/>
      <c r="AZZ67" s="170"/>
      <c r="BAA67" s="170"/>
      <c r="BAB67" s="170"/>
      <c r="BAC67" s="170"/>
      <c r="BAD67" s="170"/>
      <c r="BAE67" s="170"/>
      <c r="BAF67" s="170"/>
      <c r="BAG67" s="170"/>
      <c r="BAH67" s="170"/>
      <c r="BAI67" s="170"/>
      <c r="BAJ67" s="170"/>
      <c r="BAK67" s="170"/>
      <c r="BAL67" s="170"/>
      <c r="BAM67" s="170"/>
      <c r="BAN67" s="170"/>
      <c r="BAO67" s="170"/>
      <c r="BAP67" s="170"/>
      <c r="BAQ67" s="170"/>
      <c r="BAR67" s="170"/>
      <c r="BAS67" s="170"/>
      <c r="BAT67" s="170"/>
      <c r="BAU67" s="170"/>
      <c r="BAV67" s="170"/>
      <c r="BAW67" s="170"/>
      <c r="BAX67" s="170"/>
      <c r="BAY67" s="170"/>
      <c r="BAZ67" s="170"/>
      <c r="BBA67" s="170"/>
      <c r="BBB67" s="170"/>
      <c r="BBC67" s="170"/>
      <c r="BBD67" s="170"/>
      <c r="BBE67" s="170"/>
      <c r="BBF67" s="170"/>
      <c r="BBG67" s="170"/>
      <c r="BBH67" s="170"/>
      <c r="BBI67" s="170"/>
      <c r="BBJ67" s="170"/>
      <c r="BBK67" s="170"/>
      <c r="BBL67" s="170"/>
      <c r="BBM67" s="170"/>
      <c r="BBN67" s="170"/>
      <c r="BBO67" s="170"/>
      <c r="BBP67" s="170"/>
      <c r="BBQ67" s="170"/>
      <c r="BBR67" s="170"/>
      <c r="BBS67" s="170"/>
      <c r="BBT67" s="170"/>
      <c r="BBU67" s="170"/>
      <c r="BBV67" s="170"/>
      <c r="BBW67" s="170"/>
      <c r="BBX67" s="170"/>
      <c r="BBY67" s="170"/>
      <c r="BBZ67" s="170"/>
      <c r="BCA67" s="170"/>
      <c r="BCB67" s="170"/>
      <c r="BCC67" s="170"/>
      <c r="BCD67" s="170"/>
      <c r="BCE67" s="170"/>
      <c r="BCF67" s="170"/>
      <c r="BCG67" s="170"/>
      <c r="BCH67" s="170"/>
      <c r="BCI67" s="170"/>
      <c r="BCJ67" s="170"/>
      <c r="BCK67" s="170"/>
      <c r="BCL67" s="170"/>
      <c r="BCM67" s="170"/>
      <c r="BCN67" s="170"/>
      <c r="BCO67" s="170"/>
      <c r="BCP67" s="170"/>
      <c r="BCQ67" s="170"/>
      <c r="BCR67" s="170"/>
      <c r="BCS67" s="170"/>
      <c r="BCT67" s="170"/>
      <c r="BCU67" s="170"/>
      <c r="BCV67" s="170"/>
      <c r="BCW67" s="170"/>
      <c r="BCX67" s="170"/>
      <c r="BCY67" s="170"/>
      <c r="BCZ67" s="170"/>
      <c r="BDA67" s="170"/>
      <c r="BDB67" s="170"/>
      <c r="BDC67" s="170"/>
      <c r="BDD67" s="170"/>
      <c r="BDE67" s="170"/>
      <c r="BDF67" s="170"/>
      <c r="BDG67" s="170"/>
      <c r="BDH67" s="170"/>
      <c r="BDI67" s="170"/>
      <c r="BDJ67" s="170"/>
      <c r="BDK67" s="170"/>
      <c r="BDL67" s="170"/>
      <c r="BDM67" s="170"/>
      <c r="BDN67" s="170"/>
      <c r="BDO67" s="170"/>
      <c r="BDP67" s="170"/>
      <c r="BDQ67" s="170"/>
      <c r="BDR67" s="170"/>
      <c r="BDS67" s="170"/>
      <c r="BDT67" s="170"/>
      <c r="BDU67" s="170"/>
      <c r="BDV67" s="170"/>
      <c r="BDW67" s="170"/>
      <c r="BDX67" s="170"/>
      <c r="BDY67" s="170"/>
      <c r="BDZ67" s="170"/>
      <c r="BEA67" s="170"/>
      <c r="BEB67" s="170"/>
      <c r="BEC67" s="170"/>
      <c r="BED67" s="170"/>
      <c r="BEE67" s="170"/>
      <c r="BEF67" s="170"/>
      <c r="BEG67" s="170"/>
      <c r="BEH67" s="170"/>
      <c r="BEI67" s="170"/>
      <c r="BEJ67" s="170"/>
      <c r="BEK67" s="170"/>
      <c r="BEL67" s="170"/>
      <c r="BEM67" s="170"/>
      <c r="BEN67" s="170"/>
      <c r="BEO67" s="170"/>
      <c r="BEP67" s="170"/>
      <c r="BEQ67" s="170"/>
      <c r="BER67" s="170"/>
      <c r="BES67" s="170"/>
      <c r="BET67" s="170"/>
      <c r="BEU67" s="170"/>
      <c r="BEV67" s="170"/>
      <c r="BEW67" s="170"/>
      <c r="BEX67" s="170"/>
      <c r="BEY67" s="170"/>
      <c r="BEZ67" s="170"/>
      <c r="BFA67" s="170"/>
      <c r="BFB67" s="170"/>
      <c r="BFC67" s="170"/>
      <c r="BFD67" s="170"/>
      <c r="BFE67" s="170"/>
      <c r="BFF67" s="170"/>
      <c r="BFG67" s="170"/>
      <c r="BFH67" s="170"/>
      <c r="BFI67" s="170"/>
      <c r="BFJ67" s="170"/>
      <c r="BFK67" s="170"/>
      <c r="BFL67" s="170"/>
      <c r="BFM67" s="170"/>
      <c r="BFN67" s="170"/>
      <c r="BFO67" s="170"/>
      <c r="BFP67" s="170"/>
      <c r="BFQ67" s="170"/>
      <c r="BFR67" s="170"/>
      <c r="BFS67" s="170"/>
      <c r="BFT67" s="170"/>
      <c r="BFU67" s="170"/>
      <c r="BFV67" s="170"/>
      <c r="BFW67" s="170"/>
      <c r="BFX67" s="170"/>
      <c r="BFY67" s="170"/>
      <c r="BFZ67" s="170"/>
      <c r="BGA67" s="170"/>
      <c r="BGB67" s="170"/>
      <c r="BGC67" s="170"/>
      <c r="BGD67" s="170"/>
      <c r="BGE67" s="170"/>
      <c r="BGF67" s="170"/>
      <c r="BGG67" s="170"/>
      <c r="BGH67" s="170"/>
      <c r="BGI67" s="170"/>
      <c r="BGJ67" s="170"/>
      <c r="BGK67" s="170"/>
      <c r="BGL67" s="170"/>
      <c r="BGM67" s="170"/>
      <c r="BGN67" s="170"/>
      <c r="BGO67" s="170"/>
      <c r="BGP67" s="170"/>
      <c r="BGQ67" s="170"/>
      <c r="BGR67" s="170"/>
      <c r="BGS67" s="170"/>
      <c r="BGT67" s="170"/>
      <c r="BGU67" s="170"/>
      <c r="BGV67" s="170"/>
      <c r="BGW67" s="170"/>
      <c r="BGX67" s="170"/>
      <c r="BGY67" s="170"/>
      <c r="BGZ67" s="170"/>
      <c r="BHA67" s="170"/>
      <c r="BHB67" s="170"/>
      <c r="BHC67" s="170"/>
      <c r="BHD67" s="170"/>
      <c r="BHE67" s="170"/>
      <c r="BHF67" s="170"/>
      <c r="BHG67" s="170"/>
      <c r="BHH67" s="170"/>
      <c r="BHI67" s="170"/>
      <c r="BHJ67" s="170"/>
      <c r="BHK67" s="170"/>
      <c r="BHL67" s="170"/>
      <c r="BHM67" s="170"/>
      <c r="BHN67" s="170"/>
      <c r="BHO67" s="170"/>
      <c r="BHP67" s="170"/>
      <c r="BHQ67" s="170"/>
      <c r="BHR67" s="170"/>
      <c r="BHS67" s="170"/>
      <c r="BHT67" s="170"/>
      <c r="BHU67" s="170"/>
      <c r="BHV67" s="170"/>
      <c r="BHW67" s="170"/>
      <c r="BHX67" s="170"/>
      <c r="BHY67" s="170"/>
      <c r="BHZ67" s="170"/>
      <c r="BIA67" s="170"/>
      <c r="BIB67" s="170"/>
      <c r="BIC67" s="170"/>
      <c r="BID67" s="170"/>
      <c r="BIE67" s="170"/>
      <c r="BIF67" s="170"/>
      <c r="BIG67" s="170"/>
      <c r="BIH67" s="170"/>
      <c r="BII67" s="170"/>
      <c r="BIJ67" s="170"/>
      <c r="BIK67" s="170"/>
      <c r="BIL67" s="170"/>
      <c r="BIM67" s="170"/>
      <c r="BIN67" s="170"/>
      <c r="BIO67" s="170"/>
      <c r="BIP67" s="170"/>
      <c r="BIQ67" s="170"/>
      <c r="BIR67" s="170"/>
      <c r="BIS67" s="170"/>
      <c r="BIT67" s="170"/>
      <c r="BIU67" s="170"/>
      <c r="BIV67" s="170"/>
      <c r="BIW67" s="170"/>
      <c r="BIX67" s="170"/>
      <c r="BIY67" s="170"/>
      <c r="BIZ67" s="170"/>
      <c r="BJA67" s="170"/>
      <c r="BJB67" s="170"/>
      <c r="BJC67" s="170"/>
      <c r="BJD67" s="170"/>
      <c r="BJE67" s="170"/>
      <c r="BJF67" s="170"/>
      <c r="BJG67" s="170"/>
      <c r="BJH67" s="170"/>
      <c r="BJI67" s="170"/>
      <c r="BJJ67" s="170"/>
      <c r="BJK67" s="170"/>
      <c r="BJL67" s="170"/>
      <c r="BJM67" s="170"/>
      <c r="BJN67" s="170"/>
      <c r="BJO67" s="170"/>
      <c r="BJP67" s="170"/>
      <c r="BJQ67" s="170"/>
      <c r="BJR67" s="170"/>
      <c r="BJS67" s="170"/>
      <c r="BJT67" s="170"/>
      <c r="BJU67" s="170"/>
      <c r="BJV67" s="170"/>
      <c r="BJW67" s="170"/>
      <c r="BJX67" s="170"/>
      <c r="BJY67" s="170"/>
      <c r="BJZ67" s="170"/>
      <c r="BKA67" s="170"/>
      <c r="BKB67" s="170"/>
      <c r="BKC67" s="170"/>
      <c r="BKD67" s="170"/>
      <c r="BKE67" s="170"/>
      <c r="BKF67" s="170"/>
      <c r="BKG67" s="170"/>
      <c r="BKH67" s="170"/>
      <c r="BKI67" s="170"/>
      <c r="BKJ67" s="170"/>
      <c r="BKK67" s="170"/>
      <c r="BKL67" s="170"/>
      <c r="BKM67" s="170"/>
      <c r="BKN67" s="170"/>
      <c r="BKO67" s="170"/>
      <c r="BKP67" s="170"/>
      <c r="BKQ67" s="170"/>
      <c r="BKR67" s="170"/>
      <c r="BKS67" s="170"/>
      <c r="BKT67" s="170"/>
      <c r="BKU67" s="170"/>
      <c r="BKV67" s="170"/>
      <c r="BKW67" s="170"/>
      <c r="BKX67" s="170"/>
      <c r="BKY67" s="170"/>
      <c r="BKZ67" s="170"/>
      <c r="BLA67" s="170"/>
      <c r="BLB67" s="170"/>
      <c r="BLC67" s="170"/>
      <c r="BLD67" s="170"/>
      <c r="BLE67" s="170"/>
      <c r="BLF67" s="170"/>
      <c r="BLG67" s="170"/>
      <c r="BLH67" s="170"/>
      <c r="BLI67" s="170"/>
      <c r="BLJ67" s="170"/>
      <c r="BLK67" s="170"/>
      <c r="BLL67" s="170"/>
      <c r="BLM67" s="170"/>
      <c r="BLN67" s="170"/>
      <c r="BLO67" s="170"/>
      <c r="BLP67" s="170"/>
      <c r="BLQ67" s="170"/>
      <c r="BLR67" s="170"/>
      <c r="BLS67" s="170"/>
      <c r="BLT67" s="170"/>
      <c r="BLU67" s="170"/>
      <c r="BLV67" s="170"/>
      <c r="BLW67" s="170"/>
      <c r="BLX67" s="170"/>
      <c r="BLY67" s="170"/>
      <c r="BLZ67" s="170"/>
      <c r="BMA67" s="170"/>
      <c r="BMB67" s="170"/>
      <c r="BMC67" s="170"/>
      <c r="BMD67" s="170"/>
      <c r="BME67" s="170"/>
      <c r="BMF67" s="170"/>
      <c r="BMG67" s="170"/>
      <c r="BMH67" s="170"/>
      <c r="BMI67" s="170"/>
      <c r="BMJ67" s="170"/>
      <c r="BMK67" s="170"/>
      <c r="BML67" s="170"/>
      <c r="BMM67" s="170"/>
      <c r="BMN67" s="170"/>
      <c r="BMO67" s="170"/>
      <c r="BMP67" s="170"/>
      <c r="BMQ67" s="170"/>
      <c r="BMR67" s="170"/>
      <c r="BMS67" s="170"/>
      <c r="BMT67" s="170"/>
      <c r="BMU67" s="170"/>
      <c r="BMV67" s="170"/>
      <c r="BMW67" s="170"/>
      <c r="BMX67" s="170"/>
      <c r="BMY67" s="170"/>
      <c r="BMZ67" s="170"/>
      <c r="BNA67" s="170"/>
      <c r="BNB67" s="170"/>
      <c r="BNC67" s="170"/>
      <c r="BND67" s="170"/>
      <c r="BNE67" s="170"/>
      <c r="BNF67" s="170"/>
      <c r="BNG67" s="170"/>
      <c r="BNH67" s="170"/>
      <c r="BNI67" s="170"/>
      <c r="BNJ67" s="170"/>
      <c r="BNK67" s="170"/>
      <c r="BNL67" s="170"/>
      <c r="BNM67" s="170"/>
      <c r="BNN67" s="170"/>
      <c r="BNO67" s="170"/>
      <c r="BNP67" s="170"/>
      <c r="BNQ67" s="170"/>
      <c r="BNR67" s="170"/>
      <c r="BNS67" s="170"/>
      <c r="BNT67" s="170"/>
      <c r="BNU67" s="170"/>
      <c r="BNV67" s="170"/>
      <c r="BNW67" s="170"/>
      <c r="BNX67" s="170"/>
      <c r="BNY67" s="170"/>
      <c r="BNZ67" s="170"/>
      <c r="BOA67" s="170"/>
      <c r="BOB67" s="170"/>
      <c r="BOC67" s="170"/>
      <c r="BOD67" s="170"/>
      <c r="BOE67" s="170"/>
      <c r="BOF67" s="170"/>
      <c r="BOG67" s="170"/>
      <c r="BOH67" s="170"/>
      <c r="BOI67" s="170"/>
      <c r="BOJ67" s="170"/>
      <c r="BOK67" s="170"/>
      <c r="BOL67" s="170"/>
      <c r="BOM67" s="170"/>
      <c r="BON67" s="170"/>
      <c r="BOO67" s="170"/>
      <c r="BOP67" s="170"/>
      <c r="BOQ67" s="170"/>
      <c r="BOR67" s="170"/>
      <c r="BOS67" s="170"/>
      <c r="BOT67" s="170"/>
      <c r="BOU67" s="170"/>
      <c r="BOV67" s="170"/>
      <c r="BOW67" s="170"/>
      <c r="BOX67" s="170"/>
      <c r="BOY67" s="170"/>
      <c r="BOZ67" s="170"/>
      <c r="BPA67" s="170"/>
      <c r="BPB67" s="170"/>
      <c r="BPC67" s="170"/>
      <c r="BPD67" s="170"/>
      <c r="BPE67" s="170"/>
      <c r="BPF67" s="170"/>
      <c r="BPG67" s="170"/>
      <c r="BPH67" s="170"/>
      <c r="BPI67" s="170"/>
      <c r="BPJ67" s="170"/>
      <c r="BPK67" s="170"/>
      <c r="BPL67" s="170"/>
      <c r="BPM67" s="170"/>
      <c r="BPN67" s="170"/>
      <c r="BPO67" s="170"/>
      <c r="BPP67" s="170"/>
      <c r="BPQ67" s="170"/>
      <c r="BPR67" s="170"/>
      <c r="BPS67" s="170"/>
      <c r="BPT67" s="170"/>
      <c r="BPU67" s="170"/>
      <c r="BPV67" s="170"/>
      <c r="BPW67" s="170"/>
      <c r="BPX67" s="170"/>
      <c r="BPY67" s="170"/>
      <c r="BPZ67" s="170"/>
      <c r="BQA67" s="170"/>
      <c r="BQB67" s="170"/>
      <c r="BQC67" s="170"/>
      <c r="BQD67" s="170"/>
      <c r="BQE67" s="170"/>
      <c r="BQF67" s="170"/>
      <c r="BQG67" s="170"/>
      <c r="BQH67" s="170"/>
      <c r="BQI67" s="170"/>
      <c r="BQJ67" s="170"/>
      <c r="BQK67" s="170"/>
      <c r="BQL67" s="170"/>
      <c r="BQM67" s="170"/>
      <c r="BQN67" s="170"/>
      <c r="BQO67" s="170"/>
      <c r="BQP67" s="170"/>
      <c r="BQQ67" s="170"/>
      <c r="BQR67" s="170"/>
      <c r="BQS67" s="170"/>
      <c r="BQT67" s="170"/>
      <c r="BQU67" s="170"/>
      <c r="BQV67" s="170"/>
      <c r="BQW67" s="170"/>
      <c r="BQX67" s="170"/>
      <c r="BQY67" s="170"/>
      <c r="BQZ67" s="170"/>
      <c r="BRA67" s="170"/>
      <c r="BRB67" s="170"/>
      <c r="BRC67" s="170"/>
      <c r="BRD67" s="170"/>
      <c r="BRE67" s="170"/>
      <c r="BRF67" s="170"/>
      <c r="BRG67" s="170"/>
      <c r="BRH67" s="170"/>
      <c r="BRI67" s="170"/>
      <c r="BRJ67" s="170"/>
      <c r="BRK67" s="170"/>
      <c r="BRL67" s="170"/>
      <c r="BRM67" s="170"/>
      <c r="BRN67" s="170"/>
      <c r="BRO67" s="170"/>
      <c r="BRP67" s="170"/>
      <c r="BRQ67" s="170"/>
      <c r="BRR67" s="170"/>
      <c r="BRS67" s="170"/>
      <c r="BRT67" s="170"/>
      <c r="BRU67" s="170"/>
      <c r="BRV67" s="170"/>
      <c r="BRW67" s="170"/>
      <c r="BRX67" s="170"/>
      <c r="BRY67" s="170"/>
      <c r="BRZ67" s="170"/>
      <c r="BSA67" s="170"/>
      <c r="BSB67" s="170"/>
      <c r="BSC67" s="170"/>
      <c r="BSD67" s="170"/>
      <c r="BSE67" s="170"/>
      <c r="BSF67" s="170"/>
      <c r="BSG67" s="170"/>
      <c r="BSH67" s="170"/>
      <c r="BSI67" s="170"/>
      <c r="BSJ67" s="170"/>
      <c r="BSK67" s="170"/>
      <c r="BSL67" s="170"/>
      <c r="BSM67" s="170"/>
      <c r="BSN67" s="170"/>
      <c r="BSO67" s="170"/>
      <c r="BSP67" s="170"/>
      <c r="BSQ67" s="170"/>
      <c r="BSR67" s="170"/>
      <c r="BSS67" s="170"/>
      <c r="BST67" s="170"/>
      <c r="BSU67" s="170"/>
      <c r="BSV67" s="170"/>
      <c r="BSW67" s="170"/>
      <c r="BSX67" s="170"/>
      <c r="BSY67" s="170"/>
      <c r="BSZ67" s="170"/>
      <c r="BTA67" s="170"/>
      <c r="BTB67" s="170"/>
      <c r="BTC67" s="170"/>
      <c r="BTD67" s="170"/>
      <c r="BTE67" s="170"/>
      <c r="BTF67" s="170"/>
      <c r="BTG67" s="170"/>
      <c r="BTH67" s="170"/>
      <c r="BTI67" s="170"/>
      <c r="BTJ67" s="170"/>
      <c r="BTK67" s="170"/>
      <c r="BTL67" s="170"/>
      <c r="BTM67" s="170"/>
      <c r="BTN67" s="170"/>
      <c r="BTO67" s="170"/>
      <c r="BTP67" s="170"/>
      <c r="BTQ67" s="170"/>
      <c r="BTR67" s="170"/>
      <c r="BTS67" s="170"/>
      <c r="BTT67" s="170"/>
      <c r="BTU67" s="170"/>
      <c r="BTV67" s="170"/>
      <c r="BTW67" s="170"/>
      <c r="BTX67" s="170"/>
      <c r="BTY67" s="170"/>
      <c r="BTZ67" s="170"/>
      <c r="BUA67" s="170"/>
      <c r="BUB67" s="170"/>
      <c r="BUC67" s="170"/>
      <c r="BUD67" s="170"/>
      <c r="BUE67" s="170"/>
      <c r="BUF67" s="170"/>
      <c r="BUG67" s="170"/>
      <c r="BUH67" s="170"/>
      <c r="BUI67" s="170"/>
      <c r="BUJ67" s="170"/>
      <c r="BUK67" s="170"/>
      <c r="BUL67" s="170"/>
      <c r="BUM67" s="170"/>
      <c r="BUN67" s="170"/>
      <c r="BUO67" s="170"/>
      <c r="BUP67" s="170"/>
      <c r="BUQ67" s="170"/>
      <c r="BUR67" s="170"/>
      <c r="BUS67" s="170"/>
      <c r="BUT67" s="170"/>
      <c r="BUU67" s="170"/>
      <c r="BUV67" s="170"/>
      <c r="BUW67" s="170"/>
      <c r="BUX67" s="170"/>
      <c r="BUY67" s="170"/>
      <c r="BUZ67" s="170"/>
      <c r="BVA67" s="170"/>
      <c r="BVB67" s="170"/>
      <c r="BVC67" s="170"/>
      <c r="BVD67" s="170"/>
      <c r="BVE67" s="170"/>
      <c r="BVF67" s="170"/>
      <c r="BVG67" s="170"/>
      <c r="BVH67" s="170"/>
      <c r="BVI67" s="170"/>
      <c r="BVJ67" s="170"/>
      <c r="BVK67" s="170"/>
      <c r="BVL67" s="170"/>
      <c r="BVM67" s="170"/>
      <c r="BVN67" s="170"/>
      <c r="BVO67" s="170"/>
      <c r="BVP67" s="170"/>
      <c r="BVQ67" s="170"/>
      <c r="BVR67" s="170"/>
      <c r="BVS67" s="170"/>
      <c r="BVT67" s="170"/>
      <c r="BVU67" s="170"/>
      <c r="BVV67" s="170"/>
      <c r="BVW67" s="170"/>
      <c r="BVX67" s="170"/>
      <c r="BVY67" s="170"/>
      <c r="BVZ67" s="170"/>
      <c r="BWA67" s="170"/>
      <c r="BWB67" s="170"/>
      <c r="BWC67" s="170"/>
      <c r="BWD67" s="170"/>
      <c r="BWE67" s="170"/>
      <c r="BWF67" s="170"/>
      <c r="BWG67" s="170"/>
      <c r="BWH67" s="170"/>
      <c r="BWI67" s="170"/>
      <c r="BWJ67" s="170"/>
      <c r="BWK67" s="170"/>
      <c r="BWL67" s="170"/>
      <c r="BWM67" s="170"/>
      <c r="BWN67" s="170"/>
      <c r="BWO67" s="170"/>
      <c r="BWP67" s="170"/>
      <c r="BWQ67" s="170"/>
      <c r="BWR67" s="170"/>
      <c r="BWS67" s="170"/>
      <c r="BWT67" s="170"/>
      <c r="BWU67" s="170"/>
      <c r="BWV67" s="170"/>
      <c r="BWW67" s="170"/>
      <c r="BWX67" s="170"/>
      <c r="BWY67" s="170"/>
      <c r="BWZ67" s="170"/>
      <c r="BXA67" s="170"/>
      <c r="BXB67" s="170"/>
      <c r="BXC67" s="170"/>
      <c r="BXD67" s="170"/>
      <c r="BXE67" s="170"/>
      <c r="BXF67" s="170"/>
      <c r="BXG67" s="170"/>
      <c r="BXH67" s="170"/>
      <c r="BXI67" s="170"/>
      <c r="BXJ67" s="170"/>
      <c r="BXK67" s="170"/>
      <c r="BXL67" s="170"/>
      <c r="BXM67" s="170"/>
      <c r="BXN67" s="170"/>
      <c r="BXO67" s="170"/>
      <c r="BXP67" s="170"/>
      <c r="BXQ67" s="170"/>
      <c r="BXR67" s="170"/>
      <c r="BXS67" s="170"/>
      <c r="BXT67" s="170"/>
      <c r="BXU67" s="170"/>
      <c r="BXV67" s="170"/>
      <c r="BXW67" s="170"/>
      <c r="BXX67" s="170"/>
      <c r="BXY67" s="170"/>
      <c r="BXZ67" s="170"/>
      <c r="BYA67" s="170"/>
      <c r="BYB67" s="170"/>
      <c r="BYC67" s="170"/>
      <c r="BYD67" s="170"/>
      <c r="BYE67" s="170"/>
      <c r="BYF67" s="170"/>
      <c r="BYG67" s="170"/>
      <c r="BYH67" s="170"/>
      <c r="BYI67" s="170"/>
      <c r="BYJ67" s="170"/>
      <c r="BYK67" s="170"/>
      <c r="BYL67" s="170"/>
      <c r="BYM67" s="170"/>
      <c r="BYN67" s="170"/>
      <c r="BYO67" s="170"/>
      <c r="BYP67" s="170"/>
      <c r="BYQ67" s="170"/>
      <c r="BYR67" s="170"/>
      <c r="BYS67" s="170"/>
      <c r="BYT67" s="170"/>
      <c r="BYU67" s="170"/>
      <c r="BYV67" s="170"/>
      <c r="BYW67" s="170"/>
      <c r="BYX67" s="170"/>
      <c r="BYY67" s="170"/>
      <c r="BYZ67" s="170"/>
      <c r="BZA67" s="170"/>
      <c r="BZB67" s="170"/>
      <c r="BZC67" s="170"/>
      <c r="BZD67" s="170"/>
      <c r="BZE67" s="170"/>
      <c r="BZF67" s="170"/>
      <c r="BZG67" s="170"/>
      <c r="BZH67" s="170"/>
      <c r="BZI67" s="170"/>
      <c r="BZJ67" s="170"/>
      <c r="BZK67" s="170"/>
      <c r="BZL67" s="170"/>
      <c r="BZM67" s="170"/>
      <c r="BZN67" s="170"/>
      <c r="BZO67" s="170"/>
      <c r="BZP67" s="170"/>
      <c r="BZQ67" s="170"/>
      <c r="BZR67" s="170"/>
      <c r="BZS67" s="170"/>
      <c r="BZT67" s="170"/>
      <c r="BZU67" s="170"/>
      <c r="BZV67" s="170"/>
      <c r="BZW67" s="170"/>
      <c r="BZX67" s="170"/>
      <c r="BZY67" s="170"/>
      <c r="BZZ67" s="170"/>
      <c r="CAA67" s="170"/>
      <c r="CAB67" s="170"/>
      <c r="CAC67" s="170"/>
      <c r="CAD67" s="170"/>
      <c r="CAE67" s="170"/>
      <c r="CAF67" s="170"/>
      <c r="CAG67" s="170"/>
      <c r="CAH67" s="170"/>
      <c r="CAI67" s="170"/>
      <c r="CAJ67" s="170"/>
      <c r="CAK67" s="170"/>
      <c r="CAL67" s="170"/>
      <c r="CAM67" s="170"/>
      <c r="CAN67" s="170"/>
      <c r="CAO67" s="170"/>
      <c r="CAP67" s="170"/>
      <c r="CAQ67" s="170"/>
      <c r="CAR67" s="170"/>
      <c r="CAS67" s="170"/>
      <c r="CAT67" s="170"/>
      <c r="CAU67" s="170"/>
      <c r="CAV67" s="170"/>
      <c r="CAW67" s="170"/>
      <c r="CAX67" s="170"/>
      <c r="CAY67" s="170"/>
      <c r="CAZ67" s="170"/>
      <c r="CBA67" s="170"/>
      <c r="CBB67" s="170"/>
      <c r="CBC67" s="170"/>
      <c r="CBD67" s="170"/>
      <c r="CBE67" s="170"/>
      <c r="CBF67" s="170"/>
      <c r="CBG67" s="170"/>
      <c r="CBH67" s="170"/>
      <c r="CBI67" s="170"/>
      <c r="CBJ67" s="170"/>
      <c r="CBK67" s="170"/>
      <c r="CBL67" s="170"/>
      <c r="CBM67" s="170"/>
      <c r="CBN67" s="170"/>
      <c r="CBO67" s="170"/>
      <c r="CBP67" s="170"/>
      <c r="CBQ67" s="170"/>
      <c r="CBR67" s="170"/>
      <c r="CBS67" s="170"/>
      <c r="CBT67" s="170"/>
      <c r="CBU67" s="170"/>
      <c r="CBV67" s="170"/>
      <c r="CBW67" s="170"/>
      <c r="CBX67" s="170"/>
      <c r="CBY67" s="170"/>
      <c r="CBZ67" s="170"/>
      <c r="CCA67" s="170"/>
      <c r="CCB67" s="170"/>
      <c r="CCC67" s="170"/>
      <c r="CCD67" s="170"/>
      <c r="CCE67" s="170"/>
      <c r="CCF67" s="170"/>
      <c r="CCG67" s="170"/>
      <c r="CCH67" s="170"/>
      <c r="CCI67" s="170"/>
      <c r="CCJ67" s="170"/>
      <c r="CCK67" s="170"/>
      <c r="CCL67" s="170"/>
      <c r="CCM67" s="170"/>
      <c r="CCN67" s="170"/>
      <c r="CCO67" s="170"/>
      <c r="CCP67" s="170"/>
      <c r="CCQ67" s="170"/>
      <c r="CCR67" s="170"/>
      <c r="CCS67" s="170"/>
      <c r="CCT67" s="170"/>
      <c r="CCU67" s="170"/>
      <c r="CCV67" s="170"/>
      <c r="CCW67" s="170"/>
      <c r="CCX67" s="170"/>
      <c r="CCY67" s="170"/>
      <c r="CCZ67" s="170"/>
      <c r="CDA67" s="170"/>
      <c r="CDB67" s="170"/>
      <c r="CDC67" s="170"/>
      <c r="CDD67" s="170"/>
      <c r="CDE67" s="170"/>
      <c r="CDF67" s="170"/>
      <c r="CDG67" s="170"/>
      <c r="CDH67" s="170"/>
      <c r="CDI67" s="170"/>
      <c r="CDJ67" s="170"/>
      <c r="CDK67" s="170"/>
      <c r="CDL67" s="170"/>
      <c r="CDM67" s="170"/>
      <c r="CDN67" s="170"/>
      <c r="CDO67" s="170"/>
      <c r="CDP67" s="170"/>
      <c r="CDQ67" s="170"/>
      <c r="CDR67" s="170"/>
      <c r="CDS67" s="170"/>
      <c r="CDT67" s="170"/>
      <c r="CDU67" s="170"/>
      <c r="CDV67" s="170"/>
      <c r="CDW67" s="170"/>
      <c r="CDX67" s="170"/>
      <c r="CDY67" s="170"/>
      <c r="CDZ67" s="170"/>
      <c r="CEA67" s="170"/>
      <c r="CEB67" s="170"/>
      <c r="CEC67" s="170"/>
      <c r="CED67" s="170"/>
      <c r="CEE67" s="170"/>
      <c r="CEF67" s="170"/>
      <c r="CEG67" s="170"/>
      <c r="CEH67" s="170"/>
      <c r="CEI67" s="170"/>
      <c r="CEJ67" s="170"/>
      <c r="CEK67" s="170"/>
      <c r="CEL67" s="170"/>
      <c r="CEM67" s="170"/>
      <c r="CEN67" s="170"/>
      <c r="CEO67" s="170"/>
      <c r="CEP67" s="170"/>
      <c r="CEQ67" s="170"/>
      <c r="CER67" s="170"/>
      <c r="CES67" s="170"/>
      <c r="CET67" s="170"/>
      <c r="CEU67" s="170"/>
      <c r="CEV67" s="170"/>
      <c r="CEW67" s="170"/>
      <c r="CEX67" s="170"/>
      <c r="CEY67" s="170"/>
      <c r="CEZ67" s="170"/>
      <c r="CFA67" s="170"/>
      <c r="CFB67" s="170"/>
      <c r="CFC67" s="170"/>
      <c r="CFD67" s="170"/>
      <c r="CFE67" s="170"/>
      <c r="CFF67" s="170"/>
      <c r="CFG67" s="170"/>
      <c r="CFH67" s="170"/>
      <c r="CFI67" s="170"/>
      <c r="CFJ67" s="170"/>
      <c r="CFK67" s="170"/>
      <c r="CFL67" s="170"/>
      <c r="CFM67" s="170"/>
      <c r="CFN67" s="170"/>
      <c r="CFO67" s="170"/>
      <c r="CFP67" s="170"/>
      <c r="CFQ67" s="170"/>
      <c r="CFR67" s="170"/>
      <c r="CFS67" s="170"/>
      <c r="CFT67" s="170"/>
      <c r="CFU67" s="170"/>
      <c r="CFV67" s="170"/>
      <c r="CFW67" s="170"/>
      <c r="CFX67" s="170"/>
      <c r="CFY67" s="170"/>
      <c r="CFZ67" s="170"/>
      <c r="CGA67" s="170"/>
      <c r="CGB67" s="170"/>
      <c r="CGC67" s="170"/>
      <c r="CGD67" s="170"/>
      <c r="CGE67" s="170"/>
      <c r="CGF67" s="170"/>
      <c r="CGG67" s="170"/>
      <c r="CGH67" s="170"/>
      <c r="CGI67" s="170"/>
      <c r="CGJ67" s="170"/>
      <c r="CGK67" s="170"/>
      <c r="CGL67" s="170"/>
      <c r="CGM67" s="170"/>
      <c r="CGN67" s="170"/>
      <c r="CGO67" s="170"/>
      <c r="CGP67" s="170"/>
      <c r="CGQ67" s="170"/>
      <c r="CGR67" s="170"/>
      <c r="CGS67" s="170"/>
      <c r="CGT67" s="170"/>
      <c r="CGU67" s="170"/>
      <c r="CGV67" s="170"/>
      <c r="CGW67" s="170"/>
      <c r="CGX67" s="170"/>
      <c r="CGY67" s="170"/>
      <c r="CGZ67" s="170"/>
      <c r="CHA67" s="170"/>
      <c r="CHB67" s="170"/>
      <c r="CHC67" s="170"/>
      <c r="CHD67" s="170"/>
      <c r="CHE67" s="170"/>
      <c r="CHF67" s="170"/>
      <c r="CHG67" s="170"/>
      <c r="CHH67" s="170"/>
      <c r="CHI67" s="170"/>
      <c r="CHJ67" s="170"/>
      <c r="CHK67" s="170"/>
      <c r="CHL67" s="170"/>
      <c r="CHM67" s="170"/>
      <c r="CHN67" s="170"/>
      <c r="CHO67" s="170"/>
      <c r="CHP67" s="170"/>
      <c r="CHQ67" s="170"/>
      <c r="CHR67" s="170"/>
      <c r="CHS67" s="170"/>
      <c r="CHT67" s="170"/>
      <c r="CHU67" s="170"/>
      <c r="CHV67" s="170"/>
      <c r="CHW67" s="170"/>
      <c r="CHX67" s="170"/>
      <c r="CHY67" s="170"/>
      <c r="CHZ67" s="170"/>
      <c r="CIA67" s="170"/>
      <c r="CIB67" s="170"/>
      <c r="CIC67" s="170"/>
      <c r="CID67" s="170"/>
      <c r="CIE67" s="170"/>
      <c r="CIF67" s="170"/>
      <c r="CIG67" s="170"/>
      <c r="CIH67" s="170"/>
      <c r="CII67" s="170"/>
      <c r="CIJ67" s="170"/>
      <c r="CIK67" s="170"/>
      <c r="CIL67" s="170"/>
      <c r="CIM67" s="170"/>
      <c r="CIN67" s="170"/>
      <c r="CIO67" s="170"/>
      <c r="CIP67" s="170"/>
      <c r="CIQ67" s="170"/>
      <c r="CIR67" s="170"/>
      <c r="CIS67" s="170"/>
      <c r="CIT67" s="170"/>
      <c r="CIU67" s="170"/>
      <c r="CIV67" s="170"/>
      <c r="CIW67" s="170"/>
      <c r="CIX67" s="170"/>
      <c r="CIY67" s="170"/>
      <c r="CIZ67" s="170"/>
      <c r="CJA67" s="170"/>
      <c r="CJB67" s="170"/>
      <c r="CJC67" s="170"/>
      <c r="CJD67" s="170"/>
      <c r="CJE67" s="170"/>
      <c r="CJF67" s="170"/>
      <c r="CJG67" s="170"/>
      <c r="CJH67" s="170"/>
      <c r="CJI67" s="170"/>
      <c r="CJJ67" s="170"/>
      <c r="CJK67" s="170"/>
      <c r="CJL67" s="170"/>
      <c r="CJM67" s="170"/>
      <c r="CJN67" s="170"/>
      <c r="CJO67" s="170"/>
      <c r="CJP67" s="170"/>
      <c r="CJQ67" s="170"/>
      <c r="CJR67" s="170"/>
      <c r="CJS67" s="170"/>
      <c r="CJT67" s="170"/>
      <c r="CJU67" s="170"/>
      <c r="CJV67" s="170"/>
      <c r="CJW67" s="170"/>
      <c r="CJX67" s="170"/>
      <c r="CJY67" s="170"/>
      <c r="CJZ67" s="170"/>
      <c r="CKA67" s="170"/>
      <c r="CKB67" s="170"/>
      <c r="CKC67" s="170"/>
      <c r="CKD67" s="170"/>
      <c r="CKE67" s="170"/>
      <c r="CKF67" s="170"/>
      <c r="CKG67" s="170"/>
      <c r="CKH67" s="170"/>
      <c r="CKI67" s="170"/>
      <c r="CKJ67" s="170"/>
      <c r="CKK67" s="170"/>
      <c r="CKL67" s="170"/>
      <c r="CKM67" s="170"/>
      <c r="CKN67" s="170"/>
      <c r="CKO67" s="170"/>
      <c r="CKP67" s="170"/>
      <c r="CKQ67" s="170"/>
      <c r="CKR67" s="170"/>
      <c r="CKS67" s="170"/>
      <c r="CKT67" s="170"/>
      <c r="CKU67" s="170"/>
      <c r="CKV67" s="170"/>
      <c r="CKW67" s="170"/>
      <c r="CKX67" s="170"/>
      <c r="CKY67" s="170"/>
      <c r="CKZ67" s="170"/>
      <c r="CLA67" s="170"/>
      <c r="CLB67" s="170"/>
      <c r="CLC67" s="170"/>
      <c r="CLD67" s="170"/>
      <c r="CLE67" s="170"/>
      <c r="CLF67" s="170"/>
      <c r="CLG67" s="170"/>
      <c r="CLH67" s="170"/>
      <c r="CLI67" s="170"/>
      <c r="CLJ67" s="170"/>
      <c r="CLK67" s="170"/>
      <c r="CLL67" s="170"/>
      <c r="CLM67" s="170"/>
      <c r="CLN67" s="170"/>
      <c r="CLO67" s="170"/>
      <c r="CLP67" s="170"/>
      <c r="CLQ67" s="170"/>
      <c r="CLR67" s="170"/>
      <c r="CLS67" s="170"/>
      <c r="CLT67" s="170"/>
      <c r="CLU67" s="170"/>
      <c r="CLV67" s="170"/>
      <c r="CLW67" s="170"/>
      <c r="CLX67" s="170"/>
      <c r="CLY67" s="170"/>
      <c r="CLZ67" s="170"/>
      <c r="CMA67" s="170"/>
      <c r="CMB67" s="170"/>
      <c r="CMC67" s="170"/>
      <c r="CMD67" s="170"/>
      <c r="CME67" s="170"/>
      <c r="CMF67" s="170"/>
      <c r="CMG67" s="170"/>
      <c r="CMH67" s="170"/>
      <c r="CMI67" s="170"/>
      <c r="CMJ67" s="170"/>
      <c r="CMK67" s="170"/>
      <c r="CML67" s="170"/>
      <c r="CMM67" s="170"/>
      <c r="CMN67" s="170"/>
      <c r="CMO67" s="170"/>
      <c r="CMP67" s="170"/>
      <c r="CMQ67" s="170"/>
      <c r="CMR67" s="170"/>
      <c r="CMS67" s="170"/>
      <c r="CMT67" s="170"/>
      <c r="CMU67" s="170"/>
      <c r="CMV67" s="170"/>
      <c r="CMW67" s="170"/>
      <c r="CMX67" s="170"/>
      <c r="CMY67" s="170"/>
      <c r="CMZ67" s="170"/>
      <c r="CNA67" s="170"/>
      <c r="CNB67" s="170"/>
      <c r="CNC67" s="170"/>
      <c r="CND67" s="170"/>
      <c r="CNE67" s="170"/>
      <c r="CNF67" s="170"/>
      <c r="CNG67" s="170"/>
      <c r="CNH67" s="170"/>
      <c r="CNI67" s="170"/>
      <c r="CNJ67" s="170"/>
      <c r="CNK67" s="170"/>
      <c r="CNL67" s="170"/>
      <c r="CNM67" s="170"/>
      <c r="CNN67" s="170"/>
      <c r="CNO67" s="170"/>
      <c r="CNP67" s="170"/>
      <c r="CNQ67" s="170"/>
      <c r="CNR67" s="170"/>
      <c r="CNS67" s="170"/>
      <c r="CNT67" s="170"/>
      <c r="CNU67" s="170"/>
      <c r="CNV67" s="170"/>
      <c r="CNW67" s="170"/>
      <c r="CNX67" s="170"/>
      <c r="CNY67" s="170"/>
      <c r="CNZ67" s="170"/>
      <c r="COA67" s="170"/>
      <c r="COB67" s="170"/>
      <c r="COC67" s="170"/>
      <c r="COD67" s="170"/>
      <c r="COE67" s="170"/>
      <c r="COF67" s="170"/>
      <c r="COG67" s="170"/>
      <c r="COH67" s="170"/>
      <c r="COI67" s="170"/>
      <c r="COJ67" s="170"/>
      <c r="COK67" s="170"/>
      <c r="COL67" s="170"/>
      <c r="COM67" s="170"/>
      <c r="CON67" s="170"/>
      <c r="COO67" s="170"/>
      <c r="COP67" s="170"/>
      <c r="COQ67" s="170"/>
      <c r="COR67" s="170"/>
      <c r="COS67" s="170"/>
      <c r="COT67" s="170"/>
      <c r="COU67" s="170"/>
      <c r="COV67" s="170"/>
      <c r="COW67" s="170"/>
      <c r="COX67" s="170"/>
      <c r="COY67" s="170"/>
      <c r="COZ67" s="170"/>
      <c r="CPA67" s="170"/>
      <c r="CPB67" s="170"/>
      <c r="CPC67" s="170"/>
      <c r="CPD67" s="170"/>
      <c r="CPE67" s="170"/>
      <c r="CPF67" s="170"/>
      <c r="CPG67" s="170"/>
      <c r="CPH67" s="170"/>
      <c r="CPI67" s="170"/>
      <c r="CPJ67" s="170"/>
      <c r="CPK67" s="170"/>
      <c r="CPL67" s="170"/>
      <c r="CPM67" s="170"/>
      <c r="CPN67" s="170"/>
      <c r="CPO67" s="170"/>
      <c r="CPP67" s="170"/>
      <c r="CPQ67" s="170"/>
      <c r="CPR67" s="170"/>
      <c r="CPS67" s="170"/>
      <c r="CPT67" s="170"/>
      <c r="CPU67" s="170"/>
      <c r="CPV67" s="170"/>
      <c r="CPW67" s="170"/>
      <c r="CPX67" s="170"/>
      <c r="CPY67" s="170"/>
      <c r="CPZ67" s="170"/>
      <c r="CQA67" s="170"/>
      <c r="CQB67" s="170"/>
      <c r="CQC67" s="170"/>
      <c r="CQD67" s="170"/>
      <c r="CQE67" s="170"/>
      <c r="CQF67" s="170"/>
      <c r="CQG67" s="170"/>
      <c r="CQH67" s="170"/>
      <c r="CQI67" s="170"/>
      <c r="CQJ67" s="170"/>
      <c r="CQK67" s="170"/>
      <c r="CQL67" s="170"/>
      <c r="CQM67" s="170"/>
      <c r="CQN67" s="170"/>
      <c r="CQO67" s="170"/>
      <c r="CQP67" s="170"/>
      <c r="CQQ67" s="170"/>
      <c r="CQR67" s="170"/>
      <c r="CQS67" s="170"/>
      <c r="CQT67" s="170"/>
      <c r="CQU67" s="170"/>
      <c r="CQV67" s="170"/>
      <c r="CQW67" s="170"/>
      <c r="CQX67" s="170"/>
      <c r="CQY67" s="170"/>
      <c r="CQZ67" s="170"/>
      <c r="CRA67" s="170"/>
      <c r="CRB67" s="170"/>
      <c r="CRC67" s="170"/>
      <c r="CRD67" s="170"/>
      <c r="CRE67" s="170"/>
      <c r="CRF67" s="170"/>
      <c r="CRG67" s="170"/>
      <c r="CRH67" s="170"/>
      <c r="CRI67" s="170"/>
      <c r="CRJ67" s="170"/>
      <c r="CRK67" s="170"/>
      <c r="CRL67" s="170"/>
      <c r="CRM67" s="170"/>
      <c r="CRN67" s="170"/>
      <c r="CRO67" s="170"/>
      <c r="CRP67" s="170"/>
      <c r="CRQ67" s="170"/>
      <c r="CRR67" s="170"/>
      <c r="CRS67" s="170"/>
      <c r="CRT67" s="170"/>
      <c r="CRU67" s="170"/>
      <c r="CRV67" s="170"/>
      <c r="CRW67" s="170"/>
      <c r="CRX67" s="170"/>
      <c r="CRY67" s="170"/>
      <c r="CRZ67" s="170"/>
      <c r="CSA67" s="170"/>
      <c r="CSB67" s="170"/>
      <c r="CSC67" s="170"/>
      <c r="CSD67" s="170"/>
      <c r="CSE67" s="170"/>
      <c r="CSF67" s="170"/>
      <c r="CSG67" s="170"/>
      <c r="CSH67" s="170"/>
      <c r="CSI67" s="170"/>
      <c r="CSJ67" s="170"/>
      <c r="CSK67" s="170"/>
      <c r="CSL67" s="170"/>
      <c r="CSM67" s="170"/>
      <c r="CSN67" s="170"/>
      <c r="CSO67" s="170"/>
      <c r="CSP67" s="170"/>
      <c r="CSQ67" s="170"/>
      <c r="CSR67" s="170"/>
      <c r="CSS67" s="170"/>
      <c r="CST67" s="170"/>
      <c r="CSU67" s="170"/>
      <c r="CSV67" s="170"/>
      <c r="CSW67" s="170"/>
      <c r="CSX67" s="170"/>
      <c r="CSY67" s="170"/>
      <c r="CSZ67" s="170"/>
      <c r="CTA67" s="170"/>
      <c r="CTB67" s="170"/>
      <c r="CTC67" s="170"/>
      <c r="CTD67" s="170"/>
      <c r="CTE67" s="170"/>
      <c r="CTF67" s="170"/>
      <c r="CTG67" s="170"/>
      <c r="CTH67" s="170"/>
      <c r="CTI67" s="170"/>
      <c r="CTJ67" s="170"/>
      <c r="CTK67" s="170"/>
      <c r="CTL67" s="170"/>
      <c r="CTM67" s="170"/>
      <c r="CTN67" s="170"/>
      <c r="CTO67" s="170"/>
      <c r="CTP67" s="170"/>
      <c r="CTQ67" s="170"/>
      <c r="CTR67" s="170"/>
      <c r="CTS67" s="170"/>
      <c r="CTT67" s="170"/>
      <c r="CTU67" s="170"/>
      <c r="CTV67" s="170"/>
      <c r="CTW67" s="170"/>
      <c r="CTX67" s="170"/>
      <c r="CTY67" s="170"/>
      <c r="CTZ67" s="170"/>
      <c r="CUA67" s="170"/>
      <c r="CUB67" s="170"/>
      <c r="CUC67" s="170"/>
      <c r="CUD67" s="170"/>
      <c r="CUE67" s="170"/>
      <c r="CUF67" s="170"/>
      <c r="CUG67" s="170"/>
      <c r="CUH67" s="170"/>
      <c r="CUI67" s="170"/>
      <c r="CUJ67" s="170"/>
      <c r="CUK67" s="170"/>
      <c r="CUL67" s="170"/>
      <c r="CUM67" s="170"/>
      <c r="CUN67" s="170"/>
      <c r="CUO67" s="170"/>
      <c r="CUP67" s="170"/>
      <c r="CUQ67" s="170"/>
      <c r="CUR67" s="170"/>
      <c r="CUS67" s="170"/>
      <c r="CUT67" s="170"/>
      <c r="CUU67" s="170"/>
      <c r="CUV67" s="170"/>
      <c r="CUW67" s="170"/>
      <c r="CUX67" s="170"/>
      <c r="CUY67" s="170"/>
      <c r="CUZ67" s="170"/>
      <c r="CVA67" s="170"/>
      <c r="CVB67" s="170"/>
      <c r="CVC67" s="170"/>
      <c r="CVD67" s="170"/>
      <c r="CVE67" s="170"/>
      <c r="CVF67" s="170"/>
      <c r="CVG67" s="170"/>
      <c r="CVH67" s="170"/>
      <c r="CVI67" s="170"/>
      <c r="CVJ67" s="170"/>
      <c r="CVK67" s="170"/>
      <c r="CVL67" s="170"/>
      <c r="CVM67" s="170"/>
      <c r="CVN67" s="170"/>
      <c r="CVO67" s="170"/>
      <c r="CVP67" s="170"/>
      <c r="CVQ67" s="170"/>
      <c r="CVR67" s="170"/>
      <c r="CVS67" s="170"/>
      <c r="CVT67" s="170"/>
      <c r="CVU67" s="170"/>
      <c r="CVV67" s="170"/>
      <c r="CVW67" s="170"/>
      <c r="CVX67" s="170"/>
      <c r="CVY67" s="170"/>
      <c r="CVZ67" s="170"/>
      <c r="CWA67" s="170"/>
      <c r="CWB67" s="170"/>
      <c r="CWC67" s="170"/>
      <c r="CWD67" s="170"/>
      <c r="CWE67" s="170"/>
      <c r="CWF67" s="170"/>
      <c r="CWG67" s="170"/>
      <c r="CWH67" s="170"/>
      <c r="CWI67" s="170"/>
      <c r="CWJ67" s="170"/>
      <c r="CWK67" s="170"/>
      <c r="CWL67" s="170"/>
      <c r="CWM67" s="170"/>
      <c r="CWN67" s="170"/>
      <c r="CWO67" s="170"/>
      <c r="CWP67" s="170"/>
      <c r="CWQ67" s="170"/>
      <c r="CWR67" s="170"/>
      <c r="CWS67" s="170"/>
      <c r="CWT67" s="170"/>
      <c r="CWU67" s="170"/>
      <c r="CWV67" s="170"/>
      <c r="CWW67" s="170"/>
      <c r="CWX67" s="170"/>
      <c r="CWY67" s="170"/>
      <c r="CWZ67" s="170"/>
      <c r="CXA67" s="170"/>
      <c r="CXB67" s="170"/>
      <c r="CXC67" s="170"/>
      <c r="CXD67" s="170"/>
      <c r="CXE67" s="170"/>
      <c r="CXF67" s="170"/>
      <c r="CXG67" s="170"/>
      <c r="CXH67" s="170"/>
      <c r="CXI67" s="170"/>
      <c r="CXJ67" s="170"/>
      <c r="CXK67" s="170"/>
      <c r="CXL67" s="170"/>
      <c r="CXM67" s="170"/>
      <c r="CXN67" s="170"/>
      <c r="CXO67" s="170"/>
      <c r="CXP67" s="170"/>
      <c r="CXQ67" s="170"/>
      <c r="CXR67" s="170"/>
      <c r="CXS67" s="170"/>
      <c r="CXT67" s="170"/>
      <c r="CXU67" s="170"/>
      <c r="CXV67" s="170"/>
      <c r="CXW67" s="170"/>
      <c r="CXX67" s="170"/>
      <c r="CXY67" s="170"/>
      <c r="CXZ67" s="170"/>
      <c r="CYA67" s="170"/>
      <c r="CYB67" s="170"/>
      <c r="CYC67" s="170"/>
      <c r="CYD67" s="170"/>
      <c r="CYE67" s="170"/>
      <c r="CYF67" s="170"/>
      <c r="CYG67" s="170"/>
      <c r="CYH67" s="170"/>
      <c r="CYI67" s="170"/>
      <c r="CYJ67" s="170"/>
      <c r="CYK67" s="170"/>
      <c r="CYL67" s="170"/>
      <c r="CYM67" s="170"/>
      <c r="CYN67" s="170"/>
      <c r="CYO67" s="170"/>
      <c r="CYP67" s="170"/>
      <c r="CYQ67" s="170"/>
      <c r="CYR67" s="170"/>
      <c r="CYS67" s="170"/>
      <c r="CYT67" s="170"/>
      <c r="CYU67" s="170"/>
      <c r="CYV67" s="170"/>
      <c r="CYW67" s="170"/>
      <c r="CYX67" s="170"/>
      <c r="CYY67" s="170"/>
      <c r="CYZ67" s="170"/>
      <c r="CZA67" s="170"/>
      <c r="CZB67" s="170"/>
      <c r="CZC67" s="170"/>
      <c r="CZD67" s="170"/>
      <c r="CZE67" s="170"/>
      <c r="CZF67" s="170"/>
      <c r="CZG67" s="170"/>
      <c r="CZH67" s="170"/>
      <c r="CZI67" s="170"/>
      <c r="CZJ67" s="170"/>
      <c r="CZK67" s="170"/>
      <c r="CZL67" s="170"/>
      <c r="CZM67" s="170"/>
      <c r="CZN67" s="170"/>
      <c r="CZO67" s="170"/>
      <c r="CZP67" s="170"/>
      <c r="CZQ67" s="170"/>
      <c r="CZR67" s="170"/>
      <c r="CZS67" s="170"/>
      <c r="CZT67" s="170"/>
      <c r="CZU67" s="170"/>
      <c r="CZV67" s="170"/>
      <c r="CZW67" s="170"/>
      <c r="CZX67" s="170"/>
      <c r="CZY67" s="170"/>
      <c r="CZZ67" s="170"/>
      <c r="DAA67" s="170"/>
      <c r="DAB67" s="170"/>
      <c r="DAC67" s="170"/>
      <c r="DAD67" s="170"/>
      <c r="DAE67" s="170"/>
      <c r="DAF67" s="170"/>
      <c r="DAG67" s="170"/>
      <c r="DAH67" s="170"/>
      <c r="DAI67" s="170"/>
      <c r="DAJ67" s="170"/>
      <c r="DAK67" s="170"/>
      <c r="DAL67" s="170"/>
      <c r="DAM67" s="170"/>
      <c r="DAN67" s="170"/>
      <c r="DAO67" s="170"/>
      <c r="DAP67" s="170"/>
      <c r="DAQ67" s="170"/>
      <c r="DAR67" s="170"/>
      <c r="DAS67" s="170"/>
      <c r="DAT67" s="170"/>
      <c r="DAU67" s="170"/>
      <c r="DAV67" s="170"/>
      <c r="DAW67" s="170"/>
      <c r="DAX67" s="170"/>
      <c r="DAY67" s="170"/>
      <c r="DAZ67" s="170"/>
      <c r="DBA67" s="170"/>
      <c r="DBB67" s="170"/>
      <c r="DBC67" s="170"/>
      <c r="DBD67" s="170"/>
      <c r="DBE67" s="170"/>
      <c r="DBF67" s="170"/>
      <c r="DBG67" s="170"/>
      <c r="DBH67" s="170"/>
      <c r="DBI67" s="170"/>
      <c r="DBJ67" s="170"/>
      <c r="DBK67" s="170"/>
      <c r="DBL67" s="170"/>
      <c r="DBM67" s="170"/>
      <c r="DBN67" s="170"/>
      <c r="DBO67" s="170"/>
      <c r="DBP67" s="170"/>
      <c r="DBQ67" s="170"/>
      <c r="DBR67" s="170"/>
      <c r="DBS67" s="170"/>
      <c r="DBT67" s="170"/>
      <c r="DBU67" s="170"/>
      <c r="DBV67" s="170"/>
      <c r="DBW67" s="170"/>
      <c r="DBX67" s="170"/>
      <c r="DBY67" s="170"/>
      <c r="DBZ67" s="170"/>
      <c r="DCA67" s="170"/>
      <c r="DCB67" s="170"/>
      <c r="DCC67" s="170"/>
      <c r="DCD67" s="170"/>
      <c r="DCE67" s="170"/>
      <c r="DCF67" s="170"/>
      <c r="DCG67" s="170"/>
      <c r="DCH67" s="170"/>
      <c r="DCI67" s="170"/>
      <c r="DCJ67" s="170"/>
      <c r="DCK67" s="170"/>
      <c r="DCL67" s="170"/>
      <c r="DCM67" s="170"/>
      <c r="DCN67" s="170"/>
      <c r="DCO67" s="170"/>
      <c r="DCP67" s="170"/>
      <c r="DCQ67" s="170"/>
      <c r="DCR67" s="170"/>
      <c r="DCS67" s="170"/>
      <c r="DCT67" s="170"/>
      <c r="DCU67" s="170"/>
      <c r="DCV67" s="170"/>
      <c r="DCW67" s="170"/>
      <c r="DCX67" s="170"/>
      <c r="DCY67" s="170"/>
      <c r="DCZ67" s="170"/>
      <c r="DDA67" s="170"/>
      <c r="DDB67" s="170"/>
      <c r="DDC67" s="170"/>
      <c r="DDD67" s="170"/>
      <c r="DDE67" s="170"/>
      <c r="DDF67" s="170"/>
      <c r="DDG67" s="170"/>
      <c r="DDH67" s="170"/>
      <c r="DDI67" s="170"/>
      <c r="DDJ67" s="170"/>
      <c r="DDK67" s="170"/>
      <c r="DDL67" s="170"/>
      <c r="DDM67" s="170"/>
      <c r="DDN67" s="170"/>
      <c r="DDO67" s="170"/>
      <c r="DDP67" s="170"/>
      <c r="DDQ67" s="170"/>
      <c r="DDR67" s="170"/>
      <c r="DDS67" s="170"/>
      <c r="DDT67" s="170"/>
      <c r="DDU67" s="170"/>
      <c r="DDV67" s="170"/>
      <c r="DDW67" s="170"/>
      <c r="DDX67" s="170"/>
      <c r="DDY67" s="170"/>
      <c r="DDZ67" s="170"/>
      <c r="DEA67" s="170"/>
      <c r="DEB67" s="170"/>
      <c r="DEC67" s="170"/>
      <c r="DED67" s="170"/>
      <c r="DEE67" s="170"/>
      <c r="DEF67" s="170"/>
      <c r="DEG67" s="170"/>
      <c r="DEH67" s="170"/>
      <c r="DEI67" s="170"/>
      <c r="DEJ67" s="170"/>
      <c r="DEK67" s="170"/>
      <c r="DEL67" s="170"/>
      <c r="DEM67" s="170"/>
      <c r="DEN67" s="170"/>
      <c r="DEO67" s="170"/>
      <c r="DEP67" s="170"/>
      <c r="DEQ67" s="170"/>
      <c r="DER67" s="170"/>
      <c r="DES67" s="170"/>
      <c r="DET67" s="170"/>
      <c r="DEU67" s="170"/>
      <c r="DEV67" s="170"/>
      <c r="DEW67" s="170"/>
      <c r="DEX67" s="170"/>
      <c r="DEY67" s="170"/>
      <c r="DEZ67" s="170"/>
      <c r="DFA67" s="170"/>
      <c r="DFB67" s="170"/>
      <c r="DFC67" s="170"/>
      <c r="DFD67" s="170"/>
      <c r="DFE67" s="170"/>
      <c r="DFF67" s="170"/>
      <c r="DFG67" s="170"/>
      <c r="DFH67" s="170"/>
      <c r="DFI67" s="170"/>
      <c r="DFJ67" s="170"/>
      <c r="DFK67" s="170"/>
      <c r="DFL67" s="170"/>
      <c r="DFM67" s="170"/>
      <c r="DFN67" s="170"/>
      <c r="DFO67" s="170"/>
      <c r="DFP67" s="170"/>
      <c r="DFQ67" s="170"/>
      <c r="DFR67" s="170"/>
      <c r="DFS67" s="170"/>
      <c r="DFT67" s="170"/>
      <c r="DFU67" s="170"/>
      <c r="DFV67" s="170"/>
      <c r="DFW67" s="170"/>
      <c r="DFX67" s="170"/>
      <c r="DFY67" s="170"/>
      <c r="DFZ67" s="170"/>
      <c r="DGA67" s="170"/>
      <c r="DGB67" s="170"/>
      <c r="DGC67" s="170"/>
      <c r="DGD67" s="170"/>
      <c r="DGE67" s="170"/>
      <c r="DGF67" s="170"/>
      <c r="DGG67" s="170"/>
      <c r="DGH67" s="170"/>
      <c r="DGI67" s="170"/>
      <c r="DGJ67" s="170"/>
      <c r="DGK67" s="170"/>
      <c r="DGL67" s="170"/>
      <c r="DGM67" s="170"/>
      <c r="DGN67" s="170"/>
      <c r="DGO67" s="170"/>
      <c r="DGP67" s="170"/>
      <c r="DGQ67" s="170"/>
      <c r="DGR67" s="170"/>
      <c r="DGS67" s="170"/>
      <c r="DGT67" s="170"/>
      <c r="DGU67" s="170"/>
      <c r="DGV67" s="170"/>
      <c r="DGW67" s="170"/>
      <c r="DGX67" s="170"/>
      <c r="DGY67" s="170"/>
      <c r="DGZ67" s="170"/>
      <c r="DHA67" s="170"/>
      <c r="DHB67" s="170"/>
      <c r="DHC67" s="170"/>
      <c r="DHD67" s="170"/>
      <c r="DHE67" s="170"/>
      <c r="DHF67" s="170"/>
      <c r="DHG67" s="170"/>
      <c r="DHH67" s="170"/>
      <c r="DHI67" s="170"/>
      <c r="DHJ67" s="170"/>
      <c r="DHK67" s="170"/>
      <c r="DHL67" s="170"/>
      <c r="DHM67" s="170"/>
      <c r="DHN67" s="170"/>
      <c r="DHO67" s="170"/>
      <c r="DHP67" s="170"/>
      <c r="DHQ67" s="170"/>
      <c r="DHR67" s="170"/>
      <c r="DHS67" s="170"/>
      <c r="DHT67" s="170"/>
      <c r="DHU67" s="170"/>
      <c r="DHV67" s="170"/>
      <c r="DHW67" s="170"/>
      <c r="DHX67" s="170"/>
      <c r="DHY67" s="170"/>
      <c r="DHZ67" s="170"/>
      <c r="DIA67" s="170"/>
      <c r="DIB67" s="170"/>
      <c r="DIC67" s="170"/>
      <c r="DID67" s="170"/>
      <c r="DIE67" s="170"/>
      <c r="DIF67" s="170"/>
      <c r="DIG67" s="170"/>
      <c r="DIH67" s="170"/>
      <c r="DII67" s="170"/>
      <c r="DIJ67" s="170"/>
      <c r="DIK67" s="170"/>
      <c r="DIL67" s="170"/>
      <c r="DIM67" s="170"/>
      <c r="DIN67" s="170"/>
      <c r="DIO67" s="170"/>
      <c r="DIP67" s="170"/>
      <c r="DIQ67" s="170"/>
      <c r="DIR67" s="170"/>
      <c r="DIS67" s="170"/>
      <c r="DIT67" s="170"/>
      <c r="DIU67" s="170"/>
      <c r="DIV67" s="170"/>
      <c r="DIW67" s="170"/>
      <c r="DIX67" s="170"/>
      <c r="DIY67" s="170"/>
      <c r="DIZ67" s="170"/>
      <c r="DJA67" s="170"/>
      <c r="DJB67" s="170"/>
      <c r="DJC67" s="170"/>
      <c r="DJD67" s="170"/>
      <c r="DJE67" s="170"/>
      <c r="DJF67" s="170"/>
      <c r="DJG67" s="170"/>
      <c r="DJH67" s="170"/>
      <c r="DJI67" s="170"/>
      <c r="DJJ67" s="170"/>
      <c r="DJK67" s="170"/>
      <c r="DJL67" s="170"/>
      <c r="DJM67" s="170"/>
      <c r="DJN67" s="170"/>
      <c r="DJO67" s="170"/>
      <c r="DJP67" s="170"/>
      <c r="DJQ67" s="170"/>
      <c r="DJR67" s="170"/>
      <c r="DJS67" s="170"/>
      <c r="DJT67" s="170"/>
      <c r="DJU67" s="170"/>
      <c r="DJV67" s="170"/>
      <c r="DJW67" s="170"/>
      <c r="DJX67" s="170"/>
      <c r="DJY67" s="170"/>
      <c r="DJZ67" s="170"/>
      <c r="DKA67" s="170"/>
      <c r="DKB67" s="170"/>
      <c r="DKC67" s="170"/>
      <c r="DKD67" s="170"/>
      <c r="DKE67" s="170"/>
      <c r="DKF67" s="170"/>
      <c r="DKG67" s="170"/>
      <c r="DKH67" s="170"/>
      <c r="DKI67" s="170"/>
      <c r="DKJ67" s="170"/>
      <c r="DKK67" s="170"/>
      <c r="DKL67" s="170"/>
      <c r="DKM67" s="170"/>
      <c r="DKN67" s="170"/>
      <c r="DKO67" s="170"/>
      <c r="DKP67" s="170"/>
      <c r="DKQ67" s="170"/>
      <c r="DKR67" s="170"/>
      <c r="DKS67" s="170"/>
      <c r="DKT67" s="170"/>
      <c r="DKU67" s="170"/>
      <c r="DKV67" s="170"/>
      <c r="DKW67" s="170"/>
      <c r="DKX67" s="170"/>
      <c r="DKY67" s="170"/>
      <c r="DKZ67" s="170"/>
      <c r="DLA67" s="170"/>
      <c r="DLB67" s="170"/>
      <c r="DLC67" s="170"/>
      <c r="DLD67" s="170"/>
      <c r="DLE67" s="170"/>
      <c r="DLF67" s="170"/>
      <c r="DLG67" s="170"/>
      <c r="DLH67" s="170"/>
      <c r="DLI67" s="170"/>
      <c r="DLJ67" s="170"/>
      <c r="DLK67" s="170"/>
      <c r="DLL67" s="170"/>
      <c r="DLM67" s="170"/>
      <c r="DLN67" s="170"/>
      <c r="DLO67" s="170"/>
      <c r="DLP67" s="170"/>
      <c r="DLQ67" s="170"/>
      <c r="DLR67" s="170"/>
      <c r="DLS67" s="170"/>
      <c r="DLT67" s="170"/>
      <c r="DLU67" s="170"/>
      <c r="DLV67" s="170"/>
      <c r="DLW67" s="170"/>
      <c r="DLX67" s="170"/>
      <c r="DLY67" s="170"/>
      <c r="DLZ67" s="170"/>
      <c r="DMA67" s="170"/>
      <c r="DMB67" s="170"/>
      <c r="DMC67" s="170"/>
      <c r="DMD67" s="170"/>
      <c r="DME67" s="170"/>
      <c r="DMF67" s="170"/>
      <c r="DMG67" s="170"/>
      <c r="DMH67" s="170"/>
      <c r="DMI67" s="170"/>
      <c r="DMJ67" s="170"/>
      <c r="DMK67" s="170"/>
      <c r="DML67" s="170"/>
      <c r="DMM67" s="170"/>
      <c r="DMN67" s="170"/>
      <c r="DMO67" s="170"/>
      <c r="DMP67" s="170"/>
      <c r="DMQ67" s="170"/>
      <c r="DMR67" s="170"/>
      <c r="DMS67" s="170"/>
      <c r="DMT67" s="170"/>
      <c r="DMU67" s="170"/>
      <c r="DMV67" s="170"/>
      <c r="DMW67" s="170"/>
      <c r="DMX67" s="170"/>
      <c r="DMY67" s="170"/>
      <c r="DMZ67" s="170"/>
      <c r="DNA67" s="170"/>
      <c r="DNB67" s="170"/>
      <c r="DNC67" s="170"/>
      <c r="DND67" s="170"/>
      <c r="DNE67" s="170"/>
      <c r="DNF67" s="170"/>
      <c r="DNG67" s="170"/>
      <c r="DNH67" s="170"/>
      <c r="DNI67" s="170"/>
      <c r="DNJ67" s="170"/>
      <c r="DNK67" s="170"/>
      <c r="DNL67" s="170"/>
      <c r="DNM67" s="170"/>
      <c r="DNN67" s="170"/>
      <c r="DNO67" s="170"/>
      <c r="DNP67" s="170"/>
      <c r="DNQ67" s="170"/>
      <c r="DNR67" s="170"/>
      <c r="DNS67" s="170"/>
      <c r="DNT67" s="170"/>
      <c r="DNU67" s="170"/>
      <c r="DNV67" s="170"/>
      <c r="DNW67" s="170"/>
      <c r="DNX67" s="170"/>
      <c r="DNY67" s="170"/>
      <c r="DNZ67" s="170"/>
      <c r="DOA67" s="170"/>
      <c r="DOB67" s="170"/>
      <c r="DOC67" s="170"/>
      <c r="DOD67" s="170"/>
      <c r="DOE67" s="170"/>
      <c r="DOF67" s="170"/>
      <c r="DOG67" s="170"/>
      <c r="DOH67" s="170"/>
      <c r="DOI67" s="170"/>
      <c r="DOJ67" s="170"/>
      <c r="DOK67" s="170"/>
      <c r="DOL67" s="170"/>
      <c r="DOM67" s="170"/>
      <c r="DON67" s="170"/>
      <c r="DOO67" s="170"/>
      <c r="DOP67" s="170"/>
      <c r="DOQ67" s="170"/>
      <c r="DOR67" s="170"/>
      <c r="DOS67" s="170"/>
      <c r="DOT67" s="170"/>
      <c r="DOU67" s="170"/>
      <c r="DOV67" s="170"/>
      <c r="DOW67" s="170"/>
      <c r="DOX67" s="170"/>
      <c r="DOY67" s="170"/>
      <c r="DOZ67" s="170"/>
      <c r="DPA67" s="170"/>
      <c r="DPB67" s="170"/>
      <c r="DPC67" s="170"/>
      <c r="DPD67" s="170"/>
      <c r="DPE67" s="170"/>
      <c r="DPF67" s="170"/>
      <c r="DPG67" s="170"/>
      <c r="DPH67" s="170"/>
      <c r="DPI67" s="170"/>
      <c r="DPJ67" s="170"/>
      <c r="DPK67" s="170"/>
      <c r="DPL67" s="170"/>
      <c r="DPM67" s="170"/>
      <c r="DPN67" s="170"/>
      <c r="DPO67" s="170"/>
      <c r="DPP67" s="170"/>
      <c r="DPQ67" s="170"/>
      <c r="DPR67" s="170"/>
      <c r="DPS67" s="170"/>
      <c r="DPT67" s="170"/>
      <c r="DPU67" s="170"/>
      <c r="DPV67" s="170"/>
      <c r="DPW67" s="170"/>
      <c r="DPX67" s="170"/>
      <c r="DPY67" s="170"/>
      <c r="DPZ67" s="170"/>
      <c r="DQA67" s="170"/>
      <c r="DQB67" s="170"/>
      <c r="DQC67" s="170"/>
      <c r="DQD67" s="170"/>
      <c r="DQE67" s="170"/>
      <c r="DQF67" s="170"/>
      <c r="DQG67" s="170"/>
      <c r="DQH67" s="170"/>
      <c r="DQI67" s="170"/>
      <c r="DQJ67" s="170"/>
      <c r="DQK67" s="170"/>
      <c r="DQL67" s="170"/>
      <c r="DQM67" s="170"/>
      <c r="DQN67" s="170"/>
      <c r="DQO67" s="170"/>
      <c r="DQP67" s="170"/>
      <c r="DQQ67" s="170"/>
      <c r="DQR67" s="170"/>
      <c r="DQS67" s="170"/>
      <c r="DQT67" s="170"/>
      <c r="DQU67" s="170"/>
      <c r="DQV67" s="170"/>
      <c r="DQW67" s="170"/>
      <c r="DQX67" s="170"/>
      <c r="DQY67" s="170"/>
      <c r="DQZ67" s="170"/>
      <c r="DRA67" s="170"/>
      <c r="DRB67" s="170"/>
      <c r="DRC67" s="170"/>
      <c r="DRD67" s="170"/>
      <c r="DRE67" s="170"/>
      <c r="DRF67" s="170"/>
      <c r="DRG67" s="170"/>
      <c r="DRH67" s="170"/>
      <c r="DRI67" s="170"/>
      <c r="DRJ67" s="170"/>
      <c r="DRK67" s="170"/>
      <c r="DRL67" s="170"/>
      <c r="DRM67" s="170"/>
      <c r="DRN67" s="170"/>
      <c r="DRO67" s="170"/>
      <c r="DRP67" s="170"/>
      <c r="DRQ67" s="170"/>
      <c r="DRR67" s="170"/>
      <c r="DRS67" s="170"/>
      <c r="DRT67" s="170"/>
      <c r="DRU67" s="170"/>
      <c r="DRV67" s="170"/>
      <c r="DRW67" s="170"/>
      <c r="DRX67" s="170"/>
      <c r="DRY67" s="170"/>
      <c r="DRZ67" s="170"/>
      <c r="DSA67" s="170"/>
      <c r="DSB67" s="170"/>
      <c r="DSC67" s="170"/>
      <c r="DSD67" s="170"/>
      <c r="DSE67" s="170"/>
      <c r="DSF67" s="170"/>
      <c r="DSG67" s="170"/>
      <c r="DSH67" s="170"/>
      <c r="DSI67" s="170"/>
      <c r="DSJ67" s="170"/>
      <c r="DSK67" s="170"/>
      <c r="DSL67" s="170"/>
      <c r="DSM67" s="170"/>
      <c r="DSN67" s="170"/>
      <c r="DSO67" s="170"/>
      <c r="DSP67" s="170"/>
      <c r="DSQ67" s="170"/>
      <c r="DSR67" s="170"/>
      <c r="DSS67" s="170"/>
      <c r="DST67" s="170"/>
      <c r="DSU67" s="170"/>
      <c r="DSV67" s="170"/>
      <c r="DSW67" s="170"/>
      <c r="DSX67" s="170"/>
      <c r="DSY67" s="170"/>
      <c r="DSZ67" s="170"/>
      <c r="DTA67" s="170"/>
      <c r="DTB67" s="170"/>
      <c r="DTC67" s="170"/>
      <c r="DTD67" s="170"/>
      <c r="DTE67" s="170"/>
      <c r="DTF67" s="170"/>
      <c r="DTG67" s="170"/>
      <c r="DTH67" s="170"/>
      <c r="DTI67" s="170"/>
      <c r="DTJ67" s="170"/>
      <c r="DTK67" s="170"/>
      <c r="DTL67" s="170"/>
      <c r="DTM67" s="170"/>
      <c r="DTN67" s="170"/>
      <c r="DTO67" s="170"/>
      <c r="DTP67" s="170"/>
      <c r="DTQ67" s="170"/>
      <c r="DTR67" s="170"/>
      <c r="DTS67" s="170"/>
      <c r="DTT67" s="170"/>
      <c r="DTU67" s="170"/>
      <c r="DTV67" s="170"/>
      <c r="DTW67" s="170"/>
      <c r="DTX67" s="170"/>
      <c r="DTY67" s="170"/>
      <c r="DTZ67" s="170"/>
      <c r="DUA67" s="170"/>
      <c r="DUB67" s="170"/>
      <c r="DUC67" s="170"/>
      <c r="DUD67" s="170"/>
      <c r="DUE67" s="170"/>
      <c r="DUF67" s="170"/>
      <c r="DUG67" s="170"/>
      <c r="DUH67" s="170"/>
      <c r="DUI67" s="170"/>
      <c r="DUJ67" s="170"/>
      <c r="DUK67" s="170"/>
      <c r="DUL67" s="170"/>
      <c r="DUM67" s="170"/>
      <c r="DUN67" s="170"/>
      <c r="DUO67" s="170"/>
      <c r="DUP67" s="170"/>
      <c r="DUQ67" s="170"/>
      <c r="DUR67" s="170"/>
      <c r="DUS67" s="170"/>
      <c r="DUT67" s="170"/>
      <c r="DUU67" s="170"/>
      <c r="DUV67" s="170"/>
      <c r="DUW67" s="170"/>
      <c r="DUX67" s="170"/>
      <c r="DUY67" s="170"/>
      <c r="DUZ67" s="170"/>
      <c r="DVA67" s="170"/>
      <c r="DVB67" s="170"/>
      <c r="DVC67" s="170"/>
      <c r="DVD67" s="170"/>
      <c r="DVE67" s="170"/>
      <c r="DVF67" s="170"/>
      <c r="DVG67" s="170"/>
      <c r="DVH67" s="170"/>
      <c r="DVI67" s="170"/>
      <c r="DVJ67" s="170"/>
      <c r="DVK67" s="170"/>
      <c r="DVL67" s="170"/>
      <c r="DVM67" s="170"/>
      <c r="DVN67" s="170"/>
      <c r="DVO67" s="170"/>
      <c r="DVP67" s="170"/>
      <c r="DVQ67" s="170"/>
      <c r="DVR67" s="170"/>
      <c r="DVS67" s="170"/>
      <c r="DVT67" s="170"/>
      <c r="DVU67" s="170"/>
      <c r="DVV67" s="170"/>
      <c r="DVW67" s="170"/>
      <c r="DVX67" s="170"/>
      <c r="DVY67" s="170"/>
      <c r="DVZ67" s="170"/>
      <c r="DWA67" s="170"/>
      <c r="DWB67" s="170"/>
      <c r="DWC67" s="170"/>
      <c r="DWD67" s="170"/>
      <c r="DWE67" s="170"/>
      <c r="DWF67" s="170"/>
      <c r="DWG67" s="170"/>
      <c r="DWH67" s="170"/>
      <c r="DWI67" s="170"/>
      <c r="DWJ67" s="170"/>
      <c r="DWK67" s="170"/>
      <c r="DWL67" s="170"/>
      <c r="DWM67" s="170"/>
      <c r="DWN67" s="170"/>
      <c r="DWO67" s="170"/>
      <c r="DWP67" s="170"/>
      <c r="DWQ67" s="170"/>
      <c r="DWR67" s="170"/>
      <c r="DWS67" s="170"/>
      <c r="DWT67" s="170"/>
      <c r="DWU67" s="170"/>
      <c r="DWV67" s="170"/>
      <c r="DWW67" s="170"/>
      <c r="DWX67" s="170"/>
      <c r="DWY67" s="170"/>
      <c r="DWZ67" s="170"/>
      <c r="DXA67" s="170"/>
      <c r="DXB67" s="170"/>
      <c r="DXC67" s="170"/>
      <c r="DXD67" s="170"/>
      <c r="DXE67" s="170"/>
      <c r="DXF67" s="170"/>
      <c r="DXG67" s="170"/>
      <c r="DXH67" s="170"/>
      <c r="DXI67" s="170"/>
      <c r="DXJ67" s="170"/>
      <c r="DXK67" s="170"/>
      <c r="DXL67" s="170"/>
      <c r="DXM67" s="170"/>
      <c r="DXN67" s="170"/>
      <c r="DXO67" s="170"/>
      <c r="DXP67" s="170"/>
      <c r="DXQ67" s="170"/>
      <c r="DXR67" s="170"/>
      <c r="DXS67" s="170"/>
      <c r="DXT67" s="170"/>
      <c r="DXU67" s="170"/>
      <c r="DXV67" s="170"/>
      <c r="DXW67" s="170"/>
      <c r="DXX67" s="170"/>
      <c r="DXY67" s="170"/>
      <c r="DXZ67" s="170"/>
      <c r="DYA67" s="170"/>
      <c r="DYB67" s="170"/>
      <c r="DYC67" s="170"/>
      <c r="DYD67" s="170"/>
      <c r="DYE67" s="170"/>
      <c r="DYF67" s="170"/>
      <c r="DYG67" s="170"/>
      <c r="DYH67" s="170"/>
      <c r="DYI67" s="170"/>
      <c r="DYJ67" s="170"/>
      <c r="DYK67" s="170"/>
      <c r="DYL67" s="170"/>
      <c r="DYM67" s="170"/>
      <c r="DYN67" s="170"/>
      <c r="DYO67" s="170"/>
      <c r="DYP67" s="170"/>
      <c r="DYQ67" s="170"/>
      <c r="DYR67" s="170"/>
      <c r="DYS67" s="170"/>
      <c r="DYT67" s="170"/>
      <c r="DYU67" s="170"/>
      <c r="DYV67" s="170"/>
      <c r="DYW67" s="170"/>
      <c r="DYX67" s="170"/>
      <c r="DYY67" s="170"/>
      <c r="DYZ67" s="170"/>
      <c r="DZA67" s="170"/>
      <c r="DZB67" s="170"/>
      <c r="DZC67" s="170"/>
      <c r="DZD67" s="170"/>
      <c r="DZE67" s="170"/>
      <c r="DZF67" s="170"/>
      <c r="DZG67" s="170"/>
      <c r="DZH67" s="170"/>
      <c r="DZI67" s="170"/>
      <c r="DZJ67" s="170"/>
      <c r="DZK67" s="170"/>
      <c r="DZL67" s="170"/>
      <c r="DZM67" s="170"/>
      <c r="DZN67" s="170"/>
      <c r="DZO67" s="170"/>
      <c r="DZP67" s="170"/>
      <c r="DZQ67" s="170"/>
      <c r="DZR67" s="170"/>
      <c r="DZS67" s="170"/>
      <c r="DZT67" s="170"/>
      <c r="DZU67" s="170"/>
      <c r="DZV67" s="170"/>
      <c r="DZW67" s="170"/>
      <c r="DZX67" s="170"/>
      <c r="DZY67" s="170"/>
      <c r="DZZ67" s="170"/>
      <c r="EAA67" s="170"/>
      <c r="EAB67" s="170"/>
      <c r="EAC67" s="170"/>
      <c r="EAD67" s="170"/>
      <c r="EAE67" s="170"/>
      <c r="EAF67" s="170"/>
      <c r="EAG67" s="170"/>
      <c r="EAH67" s="170"/>
      <c r="EAI67" s="170"/>
      <c r="EAJ67" s="170"/>
      <c r="EAK67" s="170"/>
      <c r="EAL67" s="170"/>
      <c r="EAM67" s="170"/>
      <c r="EAN67" s="170"/>
      <c r="EAO67" s="170"/>
      <c r="EAP67" s="170"/>
      <c r="EAQ67" s="170"/>
      <c r="EAR67" s="170"/>
      <c r="EAS67" s="170"/>
      <c r="EAT67" s="170"/>
      <c r="EAU67" s="170"/>
      <c r="EAV67" s="170"/>
      <c r="EAW67" s="170"/>
      <c r="EAX67" s="170"/>
      <c r="EAY67" s="170"/>
      <c r="EAZ67" s="170"/>
      <c r="EBA67" s="170"/>
      <c r="EBB67" s="170"/>
      <c r="EBC67" s="170"/>
      <c r="EBD67" s="170"/>
      <c r="EBE67" s="170"/>
      <c r="EBF67" s="170"/>
      <c r="EBG67" s="170"/>
      <c r="EBH67" s="170"/>
      <c r="EBI67" s="170"/>
      <c r="EBJ67" s="170"/>
      <c r="EBK67" s="170"/>
      <c r="EBL67" s="170"/>
      <c r="EBM67" s="170"/>
      <c r="EBN67" s="170"/>
      <c r="EBO67" s="170"/>
      <c r="EBP67" s="170"/>
      <c r="EBQ67" s="170"/>
      <c r="EBR67" s="170"/>
      <c r="EBS67" s="170"/>
      <c r="EBT67" s="170"/>
      <c r="EBU67" s="170"/>
      <c r="EBV67" s="170"/>
      <c r="EBW67" s="170"/>
      <c r="EBX67" s="170"/>
      <c r="EBY67" s="170"/>
      <c r="EBZ67" s="170"/>
      <c r="ECA67" s="170"/>
      <c r="ECB67" s="170"/>
      <c r="ECC67" s="170"/>
      <c r="ECD67" s="170"/>
      <c r="ECE67" s="170"/>
      <c r="ECF67" s="170"/>
      <c r="ECG67" s="170"/>
      <c r="ECH67" s="170"/>
      <c r="ECI67" s="170"/>
      <c r="ECJ67" s="170"/>
      <c r="ECK67" s="170"/>
      <c r="ECL67" s="170"/>
      <c r="ECM67" s="170"/>
      <c r="ECN67" s="170"/>
      <c r="ECO67" s="170"/>
      <c r="ECP67" s="170"/>
      <c r="ECQ67" s="170"/>
      <c r="ECR67" s="170"/>
      <c r="ECS67" s="170"/>
      <c r="ECT67" s="170"/>
      <c r="ECU67" s="170"/>
      <c r="ECV67" s="170"/>
      <c r="ECW67" s="170"/>
      <c r="ECX67" s="170"/>
      <c r="ECY67" s="170"/>
      <c r="ECZ67" s="170"/>
      <c r="EDA67" s="170"/>
      <c r="EDB67" s="170"/>
      <c r="EDC67" s="170"/>
      <c r="EDD67" s="170"/>
      <c r="EDE67" s="170"/>
      <c r="EDF67" s="170"/>
      <c r="EDG67" s="170"/>
      <c r="EDH67" s="170"/>
      <c r="EDI67" s="170"/>
      <c r="EDJ67" s="170"/>
      <c r="EDK67" s="170"/>
      <c r="EDL67" s="170"/>
      <c r="EDM67" s="170"/>
      <c r="EDN67" s="170"/>
      <c r="EDO67" s="170"/>
      <c r="EDP67" s="170"/>
      <c r="EDQ67" s="170"/>
      <c r="EDR67" s="170"/>
      <c r="EDS67" s="170"/>
      <c r="EDT67" s="170"/>
      <c r="EDU67" s="170"/>
      <c r="EDV67" s="170"/>
      <c r="EDW67" s="170"/>
      <c r="EDX67" s="170"/>
      <c r="EDY67" s="170"/>
      <c r="EDZ67" s="170"/>
      <c r="EEA67" s="170"/>
      <c r="EEB67" s="170"/>
      <c r="EEC67" s="170"/>
      <c r="EED67" s="170"/>
      <c r="EEE67" s="170"/>
      <c r="EEF67" s="170"/>
      <c r="EEG67" s="170"/>
      <c r="EEH67" s="170"/>
      <c r="EEI67" s="170"/>
      <c r="EEJ67" s="170"/>
      <c r="EEK67" s="170"/>
      <c r="EEL67" s="170"/>
      <c r="EEM67" s="170"/>
      <c r="EEN67" s="170"/>
      <c r="EEO67" s="170"/>
      <c r="EEP67" s="170"/>
      <c r="EEQ67" s="170"/>
      <c r="EER67" s="170"/>
      <c r="EES67" s="170"/>
      <c r="EET67" s="170"/>
      <c r="EEU67" s="170"/>
      <c r="EEV67" s="170"/>
      <c r="EEW67" s="170"/>
      <c r="EEX67" s="170"/>
      <c r="EEY67" s="170"/>
      <c r="EEZ67" s="170"/>
      <c r="EFA67" s="170"/>
      <c r="EFB67" s="170"/>
      <c r="EFC67" s="170"/>
      <c r="EFD67" s="170"/>
      <c r="EFE67" s="170"/>
      <c r="EFF67" s="170"/>
      <c r="EFG67" s="170"/>
      <c r="EFH67" s="170"/>
      <c r="EFI67" s="170"/>
      <c r="EFJ67" s="170"/>
      <c r="EFK67" s="170"/>
      <c r="EFL67" s="170"/>
      <c r="EFM67" s="170"/>
      <c r="EFN67" s="170"/>
      <c r="EFO67" s="170"/>
      <c r="EFP67" s="170"/>
      <c r="EFQ67" s="170"/>
      <c r="EFR67" s="170"/>
      <c r="EFS67" s="170"/>
      <c r="EFT67" s="170"/>
      <c r="EFU67" s="170"/>
      <c r="EFV67" s="170"/>
      <c r="EFW67" s="170"/>
      <c r="EFX67" s="170"/>
      <c r="EFY67" s="170"/>
      <c r="EFZ67" s="170"/>
      <c r="EGA67" s="170"/>
      <c r="EGB67" s="170"/>
      <c r="EGC67" s="170"/>
      <c r="EGD67" s="170"/>
      <c r="EGE67" s="170"/>
      <c r="EGF67" s="170"/>
      <c r="EGG67" s="170"/>
      <c r="EGH67" s="170"/>
      <c r="EGI67" s="170"/>
      <c r="EGJ67" s="170"/>
      <c r="EGK67" s="170"/>
      <c r="EGL67" s="170"/>
      <c r="EGM67" s="170"/>
      <c r="EGN67" s="170"/>
      <c r="EGO67" s="170"/>
      <c r="EGP67" s="170"/>
      <c r="EGQ67" s="170"/>
      <c r="EGR67" s="170"/>
      <c r="EGS67" s="170"/>
      <c r="EGT67" s="170"/>
      <c r="EGU67" s="170"/>
      <c r="EGV67" s="170"/>
      <c r="EGW67" s="170"/>
      <c r="EGX67" s="170"/>
      <c r="EGY67" s="170"/>
      <c r="EGZ67" s="170"/>
      <c r="EHA67" s="170"/>
      <c r="EHB67" s="170"/>
      <c r="EHC67" s="170"/>
      <c r="EHD67" s="170"/>
      <c r="EHE67" s="170"/>
      <c r="EHF67" s="170"/>
      <c r="EHG67" s="170"/>
      <c r="EHH67" s="170"/>
      <c r="EHI67" s="170"/>
      <c r="EHJ67" s="170"/>
      <c r="EHK67" s="170"/>
      <c r="EHL67" s="170"/>
      <c r="EHM67" s="170"/>
      <c r="EHN67" s="170"/>
      <c r="EHO67" s="170"/>
      <c r="EHP67" s="170"/>
      <c r="EHQ67" s="170"/>
      <c r="EHR67" s="170"/>
      <c r="EHS67" s="170"/>
      <c r="EHT67" s="170"/>
      <c r="EHU67" s="170"/>
      <c r="EHV67" s="170"/>
      <c r="EHW67" s="170"/>
      <c r="EHX67" s="170"/>
      <c r="EHY67" s="170"/>
      <c r="EHZ67" s="170"/>
      <c r="EIA67" s="170"/>
      <c r="EIB67" s="170"/>
      <c r="EIC67" s="170"/>
      <c r="EID67" s="170"/>
      <c r="EIE67" s="170"/>
      <c r="EIF67" s="170"/>
      <c r="EIG67" s="170"/>
      <c r="EIH67" s="170"/>
      <c r="EII67" s="170"/>
      <c r="EIJ67" s="170"/>
      <c r="EIK67" s="170"/>
      <c r="EIL67" s="170"/>
      <c r="EIM67" s="170"/>
      <c r="EIN67" s="170"/>
      <c r="EIO67" s="170"/>
      <c r="EIP67" s="170"/>
      <c r="EIQ67" s="170"/>
      <c r="EIR67" s="170"/>
      <c r="EIS67" s="170"/>
      <c r="EIT67" s="170"/>
      <c r="EIU67" s="170"/>
      <c r="EIV67" s="170"/>
      <c r="EIW67" s="170"/>
      <c r="EIX67" s="170"/>
      <c r="EIY67" s="170"/>
      <c r="EIZ67" s="170"/>
      <c r="EJA67" s="170"/>
      <c r="EJB67" s="170"/>
      <c r="EJC67" s="170"/>
      <c r="EJD67" s="170"/>
      <c r="EJE67" s="170"/>
      <c r="EJF67" s="170"/>
      <c r="EJG67" s="170"/>
      <c r="EJH67" s="170"/>
      <c r="EJI67" s="170"/>
      <c r="EJJ67" s="170"/>
      <c r="EJK67" s="170"/>
      <c r="EJL67" s="170"/>
      <c r="EJM67" s="170"/>
      <c r="EJN67" s="170"/>
      <c r="EJO67" s="170"/>
      <c r="EJP67" s="170"/>
      <c r="EJQ67" s="170"/>
      <c r="EJR67" s="170"/>
      <c r="EJS67" s="170"/>
      <c r="EJT67" s="170"/>
      <c r="EJU67" s="170"/>
      <c r="EJV67" s="170"/>
      <c r="EJW67" s="170"/>
      <c r="EJX67" s="170"/>
      <c r="EJY67" s="170"/>
      <c r="EJZ67" s="170"/>
      <c r="EKA67" s="170"/>
      <c r="EKB67" s="170"/>
      <c r="EKC67" s="170"/>
      <c r="EKD67" s="170"/>
      <c r="EKE67" s="170"/>
      <c r="EKF67" s="170"/>
      <c r="EKG67" s="170"/>
      <c r="EKH67" s="170"/>
      <c r="EKI67" s="170"/>
      <c r="EKJ67" s="170"/>
      <c r="EKK67" s="170"/>
      <c r="EKL67" s="170"/>
      <c r="EKM67" s="170"/>
      <c r="EKN67" s="170"/>
      <c r="EKO67" s="170"/>
      <c r="EKP67" s="170"/>
      <c r="EKQ67" s="170"/>
      <c r="EKR67" s="170"/>
      <c r="EKS67" s="170"/>
      <c r="EKT67" s="170"/>
      <c r="EKU67" s="170"/>
      <c r="EKV67" s="170"/>
      <c r="EKW67" s="170"/>
      <c r="EKX67" s="170"/>
      <c r="EKY67" s="170"/>
      <c r="EKZ67" s="170"/>
      <c r="ELA67" s="170"/>
      <c r="ELB67" s="170"/>
      <c r="ELC67" s="170"/>
      <c r="ELD67" s="170"/>
      <c r="ELE67" s="170"/>
      <c r="ELF67" s="170"/>
      <c r="ELG67" s="170"/>
      <c r="ELH67" s="170"/>
      <c r="ELI67" s="170"/>
      <c r="ELJ67" s="170"/>
      <c r="ELK67" s="170"/>
      <c r="ELL67" s="170"/>
      <c r="ELM67" s="170"/>
      <c r="ELN67" s="170"/>
      <c r="ELO67" s="170"/>
      <c r="ELP67" s="170"/>
      <c r="ELQ67" s="170"/>
      <c r="ELR67" s="170"/>
      <c r="ELS67" s="170"/>
      <c r="ELT67" s="170"/>
      <c r="ELU67" s="170"/>
      <c r="ELV67" s="170"/>
      <c r="ELW67" s="170"/>
      <c r="ELX67" s="170"/>
      <c r="ELY67" s="170"/>
      <c r="ELZ67" s="170"/>
      <c r="EMA67" s="170"/>
      <c r="EMB67" s="170"/>
      <c r="EMC67" s="170"/>
      <c r="EMD67" s="170"/>
      <c r="EME67" s="170"/>
      <c r="EMF67" s="170"/>
      <c r="EMG67" s="170"/>
      <c r="EMH67" s="170"/>
      <c r="EMI67" s="170"/>
      <c r="EMJ67" s="170"/>
      <c r="EMK67" s="170"/>
      <c r="EML67" s="170"/>
      <c r="EMM67" s="170"/>
      <c r="EMN67" s="170"/>
      <c r="EMO67" s="170"/>
      <c r="EMP67" s="170"/>
      <c r="EMQ67" s="170"/>
      <c r="EMR67" s="170"/>
      <c r="EMS67" s="170"/>
      <c r="EMT67" s="170"/>
      <c r="EMU67" s="170"/>
      <c r="EMV67" s="170"/>
      <c r="EMW67" s="170"/>
      <c r="EMX67" s="170"/>
      <c r="EMY67" s="170"/>
      <c r="EMZ67" s="170"/>
      <c r="ENA67" s="170"/>
      <c r="ENB67" s="170"/>
      <c r="ENC67" s="170"/>
      <c r="END67" s="170"/>
      <c r="ENE67" s="170"/>
      <c r="ENF67" s="170"/>
      <c r="ENG67" s="170"/>
      <c r="ENH67" s="170"/>
      <c r="ENI67" s="170"/>
      <c r="ENJ67" s="170"/>
      <c r="ENK67" s="170"/>
      <c r="ENL67" s="170"/>
      <c r="ENM67" s="170"/>
      <c r="ENN67" s="170"/>
      <c r="ENO67" s="170"/>
      <c r="ENP67" s="170"/>
      <c r="ENQ67" s="170"/>
      <c r="ENR67" s="170"/>
      <c r="ENS67" s="170"/>
      <c r="ENT67" s="170"/>
      <c r="ENU67" s="170"/>
      <c r="ENV67" s="170"/>
      <c r="ENW67" s="170"/>
      <c r="ENX67" s="170"/>
      <c r="ENY67" s="170"/>
      <c r="ENZ67" s="170"/>
      <c r="EOA67" s="170"/>
      <c r="EOB67" s="170"/>
      <c r="EOC67" s="170"/>
      <c r="EOD67" s="170"/>
      <c r="EOE67" s="170"/>
      <c r="EOF67" s="170"/>
      <c r="EOG67" s="170"/>
      <c r="EOH67" s="170"/>
      <c r="EOI67" s="170"/>
      <c r="EOJ67" s="170"/>
      <c r="EOK67" s="170"/>
      <c r="EOL67" s="170"/>
      <c r="EOM67" s="170"/>
      <c r="EON67" s="170"/>
      <c r="EOO67" s="170"/>
      <c r="EOP67" s="170"/>
      <c r="EOQ67" s="170"/>
      <c r="EOR67" s="170"/>
      <c r="EOS67" s="170"/>
      <c r="EOT67" s="170"/>
      <c r="EOU67" s="170"/>
      <c r="EOV67" s="170"/>
      <c r="EOW67" s="170"/>
      <c r="EOX67" s="170"/>
      <c r="EOY67" s="170"/>
      <c r="EOZ67" s="170"/>
      <c r="EPA67" s="170"/>
      <c r="EPB67" s="170"/>
      <c r="EPC67" s="170"/>
      <c r="EPD67" s="170"/>
      <c r="EPE67" s="170"/>
      <c r="EPF67" s="170"/>
      <c r="EPG67" s="170"/>
      <c r="EPH67" s="170"/>
      <c r="EPI67" s="170"/>
      <c r="EPJ67" s="170"/>
      <c r="EPK67" s="170"/>
      <c r="EPL67" s="170"/>
      <c r="EPM67" s="170"/>
      <c r="EPN67" s="170"/>
      <c r="EPO67" s="170"/>
      <c r="EPP67" s="170"/>
      <c r="EPQ67" s="170"/>
      <c r="EPR67" s="170"/>
      <c r="EPS67" s="170"/>
      <c r="EPT67" s="170"/>
      <c r="EPU67" s="170"/>
      <c r="EPV67" s="170"/>
      <c r="EPW67" s="170"/>
      <c r="EPX67" s="170"/>
      <c r="EPY67" s="170"/>
      <c r="EPZ67" s="170"/>
      <c r="EQA67" s="170"/>
      <c r="EQB67" s="170"/>
      <c r="EQC67" s="170"/>
      <c r="EQD67" s="170"/>
      <c r="EQE67" s="170"/>
      <c r="EQF67" s="170"/>
      <c r="EQG67" s="170"/>
      <c r="EQH67" s="170"/>
      <c r="EQI67" s="170"/>
      <c r="EQJ67" s="170"/>
      <c r="EQK67" s="170"/>
      <c r="EQL67" s="170"/>
      <c r="EQM67" s="170"/>
      <c r="EQN67" s="170"/>
      <c r="EQO67" s="170"/>
      <c r="EQP67" s="170"/>
      <c r="EQQ67" s="170"/>
      <c r="EQR67" s="170"/>
      <c r="EQS67" s="170"/>
      <c r="EQT67" s="170"/>
      <c r="EQU67" s="170"/>
      <c r="EQV67" s="170"/>
      <c r="EQW67" s="170"/>
      <c r="EQX67" s="170"/>
      <c r="EQY67" s="170"/>
      <c r="EQZ67" s="170"/>
      <c r="ERA67" s="170"/>
      <c r="ERB67" s="170"/>
      <c r="ERC67" s="170"/>
      <c r="ERD67" s="170"/>
      <c r="ERE67" s="170"/>
      <c r="ERF67" s="170"/>
      <c r="ERG67" s="170"/>
      <c r="ERH67" s="170"/>
      <c r="ERI67" s="170"/>
      <c r="ERJ67" s="170"/>
      <c r="ERK67" s="170"/>
      <c r="ERL67" s="170"/>
      <c r="ERM67" s="170"/>
      <c r="ERN67" s="170"/>
      <c r="ERO67" s="170"/>
      <c r="ERP67" s="170"/>
      <c r="ERQ67" s="170"/>
      <c r="ERR67" s="170"/>
      <c r="ERS67" s="170"/>
      <c r="ERT67" s="170"/>
      <c r="ERU67" s="170"/>
      <c r="ERV67" s="170"/>
      <c r="ERW67" s="170"/>
      <c r="ERX67" s="170"/>
      <c r="ERY67" s="170"/>
      <c r="ERZ67" s="170"/>
      <c r="ESA67" s="170"/>
      <c r="ESB67" s="170"/>
      <c r="ESC67" s="170"/>
      <c r="ESD67" s="170"/>
      <c r="ESE67" s="170"/>
      <c r="ESF67" s="170"/>
      <c r="ESG67" s="170"/>
      <c r="ESH67" s="170"/>
      <c r="ESI67" s="170"/>
      <c r="ESJ67" s="170"/>
      <c r="ESK67" s="170"/>
      <c r="ESL67" s="170"/>
      <c r="ESM67" s="170"/>
      <c r="ESN67" s="170"/>
      <c r="ESO67" s="170"/>
      <c r="ESP67" s="170"/>
      <c r="ESQ67" s="170"/>
      <c r="ESR67" s="170"/>
      <c r="ESS67" s="170"/>
      <c r="EST67" s="170"/>
      <c r="ESU67" s="170"/>
      <c r="ESV67" s="170"/>
      <c r="ESW67" s="170"/>
      <c r="ESX67" s="170"/>
      <c r="ESY67" s="170"/>
      <c r="ESZ67" s="170"/>
      <c r="ETA67" s="170"/>
      <c r="ETB67" s="170"/>
      <c r="ETC67" s="170"/>
      <c r="ETD67" s="170"/>
      <c r="ETE67" s="170"/>
      <c r="ETF67" s="170"/>
      <c r="ETG67" s="170"/>
      <c r="ETH67" s="170"/>
      <c r="ETI67" s="170"/>
      <c r="ETJ67" s="170"/>
      <c r="ETK67" s="170"/>
      <c r="ETL67" s="170"/>
      <c r="ETM67" s="170"/>
      <c r="ETN67" s="170"/>
      <c r="ETO67" s="170"/>
      <c r="ETP67" s="170"/>
      <c r="ETQ67" s="170"/>
      <c r="ETR67" s="170"/>
      <c r="ETS67" s="170"/>
      <c r="ETT67" s="170"/>
      <c r="ETU67" s="170"/>
      <c r="ETV67" s="170"/>
      <c r="ETW67" s="170"/>
      <c r="ETX67" s="170"/>
      <c r="ETY67" s="170"/>
      <c r="ETZ67" s="170"/>
      <c r="EUA67" s="170"/>
      <c r="EUB67" s="170"/>
      <c r="EUC67" s="170"/>
      <c r="EUD67" s="170"/>
      <c r="EUE67" s="170"/>
      <c r="EUF67" s="170"/>
      <c r="EUG67" s="170"/>
      <c r="EUH67" s="170"/>
      <c r="EUI67" s="170"/>
      <c r="EUJ67" s="170"/>
      <c r="EUK67" s="170"/>
      <c r="EUL67" s="170"/>
      <c r="EUM67" s="170"/>
      <c r="EUN67" s="170"/>
      <c r="EUO67" s="170"/>
      <c r="EUP67" s="170"/>
      <c r="EUQ67" s="170"/>
      <c r="EUR67" s="170"/>
      <c r="EUS67" s="170"/>
      <c r="EUT67" s="170"/>
      <c r="EUU67" s="170"/>
      <c r="EUV67" s="170"/>
      <c r="EUW67" s="170"/>
      <c r="EUX67" s="170"/>
      <c r="EUY67" s="170"/>
      <c r="EUZ67" s="170"/>
      <c r="EVA67" s="170"/>
      <c r="EVB67" s="170"/>
      <c r="EVC67" s="170"/>
      <c r="EVD67" s="170"/>
      <c r="EVE67" s="170"/>
      <c r="EVF67" s="170"/>
      <c r="EVG67" s="170"/>
      <c r="EVH67" s="170"/>
      <c r="EVI67" s="170"/>
      <c r="EVJ67" s="170"/>
      <c r="EVK67" s="170"/>
      <c r="EVL67" s="170"/>
      <c r="EVM67" s="170"/>
      <c r="EVN67" s="170"/>
      <c r="EVO67" s="170"/>
      <c r="EVP67" s="170"/>
      <c r="EVQ67" s="170"/>
      <c r="EVR67" s="170"/>
      <c r="EVS67" s="170"/>
      <c r="EVT67" s="170"/>
      <c r="EVU67" s="170"/>
      <c r="EVV67" s="170"/>
      <c r="EVW67" s="170"/>
      <c r="EVX67" s="170"/>
      <c r="EVY67" s="170"/>
      <c r="EVZ67" s="170"/>
      <c r="EWA67" s="170"/>
      <c r="EWB67" s="170"/>
      <c r="EWC67" s="170"/>
      <c r="EWD67" s="170"/>
      <c r="EWE67" s="170"/>
      <c r="EWF67" s="170"/>
      <c r="EWG67" s="170"/>
      <c r="EWH67" s="170"/>
      <c r="EWI67" s="170"/>
      <c r="EWJ67" s="170"/>
      <c r="EWK67" s="170"/>
      <c r="EWL67" s="170"/>
      <c r="EWM67" s="170"/>
      <c r="EWN67" s="170"/>
      <c r="EWO67" s="170"/>
      <c r="EWP67" s="170"/>
      <c r="EWQ67" s="170"/>
      <c r="EWR67" s="170"/>
      <c r="EWS67" s="170"/>
      <c r="EWT67" s="170"/>
      <c r="EWU67" s="170"/>
      <c r="EWV67" s="170"/>
      <c r="EWW67" s="170"/>
      <c r="EWX67" s="170"/>
      <c r="EWY67" s="170"/>
      <c r="EWZ67" s="170"/>
      <c r="EXA67" s="170"/>
      <c r="EXB67" s="170"/>
      <c r="EXC67" s="170"/>
      <c r="EXD67" s="170"/>
      <c r="EXE67" s="170"/>
      <c r="EXF67" s="170"/>
      <c r="EXG67" s="170"/>
      <c r="EXH67" s="170"/>
      <c r="EXI67" s="170"/>
      <c r="EXJ67" s="170"/>
      <c r="EXK67" s="170"/>
      <c r="EXL67" s="170"/>
      <c r="EXM67" s="170"/>
      <c r="EXN67" s="170"/>
      <c r="EXO67" s="170"/>
      <c r="EXP67" s="170"/>
      <c r="EXQ67" s="170"/>
      <c r="EXR67" s="170"/>
      <c r="EXS67" s="170"/>
      <c r="EXT67" s="170"/>
      <c r="EXU67" s="170"/>
      <c r="EXV67" s="170"/>
      <c r="EXW67" s="170"/>
      <c r="EXX67" s="170"/>
      <c r="EXY67" s="170"/>
      <c r="EXZ67" s="170"/>
      <c r="EYA67" s="170"/>
      <c r="EYB67" s="170"/>
      <c r="EYC67" s="170"/>
      <c r="EYD67" s="170"/>
      <c r="EYE67" s="170"/>
      <c r="EYF67" s="170"/>
      <c r="EYG67" s="170"/>
      <c r="EYH67" s="170"/>
      <c r="EYI67" s="170"/>
      <c r="EYJ67" s="170"/>
      <c r="EYK67" s="170"/>
      <c r="EYL67" s="170"/>
      <c r="EYM67" s="170"/>
      <c r="EYN67" s="170"/>
      <c r="EYO67" s="170"/>
      <c r="EYP67" s="170"/>
      <c r="EYQ67" s="170"/>
      <c r="EYR67" s="170"/>
      <c r="EYS67" s="170"/>
      <c r="EYT67" s="170"/>
      <c r="EYU67" s="170"/>
      <c r="EYV67" s="170"/>
      <c r="EYW67" s="170"/>
      <c r="EYX67" s="170"/>
      <c r="EYY67" s="170"/>
      <c r="EYZ67" s="170"/>
      <c r="EZA67" s="170"/>
      <c r="EZB67" s="170"/>
      <c r="EZC67" s="170"/>
      <c r="EZD67" s="170"/>
      <c r="EZE67" s="170"/>
      <c r="EZF67" s="170"/>
      <c r="EZG67" s="170"/>
      <c r="EZH67" s="170"/>
      <c r="EZI67" s="170"/>
      <c r="EZJ67" s="170"/>
      <c r="EZK67" s="170"/>
      <c r="EZL67" s="170"/>
      <c r="EZM67" s="170"/>
      <c r="EZN67" s="170"/>
      <c r="EZO67" s="170"/>
      <c r="EZP67" s="170"/>
      <c r="EZQ67" s="170"/>
      <c r="EZR67" s="170"/>
      <c r="EZS67" s="170"/>
      <c r="EZT67" s="170"/>
      <c r="EZU67" s="170"/>
      <c r="EZV67" s="170"/>
      <c r="EZW67" s="170"/>
      <c r="EZX67" s="170"/>
      <c r="EZY67" s="170"/>
      <c r="EZZ67" s="170"/>
      <c r="FAA67" s="170"/>
      <c r="FAB67" s="170"/>
      <c r="FAC67" s="170"/>
      <c r="FAD67" s="170"/>
      <c r="FAE67" s="170"/>
      <c r="FAF67" s="170"/>
      <c r="FAG67" s="170"/>
      <c r="FAH67" s="170"/>
      <c r="FAI67" s="170"/>
      <c r="FAJ67" s="170"/>
      <c r="FAK67" s="170"/>
      <c r="FAL67" s="170"/>
      <c r="FAM67" s="170"/>
      <c r="FAN67" s="170"/>
      <c r="FAO67" s="170"/>
      <c r="FAP67" s="170"/>
      <c r="FAQ67" s="170"/>
      <c r="FAR67" s="170"/>
      <c r="FAS67" s="170"/>
      <c r="FAT67" s="170"/>
      <c r="FAU67" s="170"/>
      <c r="FAV67" s="170"/>
      <c r="FAW67" s="170"/>
      <c r="FAX67" s="170"/>
      <c r="FAY67" s="170"/>
      <c r="FAZ67" s="170"/>
      <c r="FBA67" s="170"/>
      <c r="FBB67" s="170"/>
      <c r="FBC67" s="170"/>
      <c r="FBD67" s="170"/>
      <c r="FBE67" s="170"/>
      <c r="FBF67" s="170"/>
      <c r="FBG67" s="170"/>
      <c r="FBH67" s="170"/>
      <c r="FBI67" s="170"/>
      <c r="FBJ67" s="170"/>
      <c r="FBK67" s="170"/>
      <c r="FBL67" s="170"/>
      <c r="FBM67" s="170"/>
      <c r="FBN67" s="170"/>
      <c r="FBO67" s="170"/>
      <c r="FBP67" s="170"/>
      <c r="FBQ67" s="170"/>
      <c r="FBR67" s="170"/>
      <c r="FBS67" s="170"/>
      <c r="FBT67" s="170"/>
      <c r="FBU67" s="170"/>
      <c r="FBV67" s="170"/>
      <c r="FBW67" s="170"/>
      <c r="FBX67" s="170"/>
      <c r="FBY67" s="170"/>
      <c r="FBZ67" s="170"/>
      <c r="FCA67" s="170"/>
      <c r="FCB67" s="170"/>
      <c r="FCC67" s="170"/>
      <c r="FCD67" s="170"/>
      <c r="FCE67" s="170"/>
      <c r="FCF67" s="170"/>
      <c r="FCG67" s="170"/>
      <c r="FCH67" s="170"/>
      <c r="FCI67" s="170"/>
      <c r="FCJ67" s="170"/>
      <c r="FCK67" s="170"/>
      <c r="FCL67" s="170"/>
      <c r="FCM67" s="170"/>
      <c r="FCN67" s="170"/>
      <c r="FCO67" s="170"/>
      <c r="FCP67" s="170"/>
      <c r="FCQ67" s="170"/>
      <c r="FCR67" s="170"/>
      <c r="FCS67" s="170"/>
      <c r="FCT67" s="170"/>
      <c r="FCU67" s="170"/>
      <c r="FCV67" s="170"/>
      <c r="FCW67" s="170"/>
      <c r="FCX67" s="170"/>
      <c r="FCY67" s="170"/>
      <c r="FCZ67" s="170"/>
      <c r="FDA67" s="170"/>
      <c r="FDB67" s="170"/>
      <c r="FDC67" s="170"/>
      <c r="FDD67" s="170"/>
      <c r="FDE67" s="170"/>
      <c r="FDF67" s="170"/>
      <c r="FDG67" s="170"/>
      <c r="FDH67" s="170"/>
      <c r="FDI67" s="170"/>
      <c r="FDJ67" s="170"/>
      <c r="FDK67" s="170"/>
      <c r="FDL67" s="170"/>
      <c r="FDM67" s="170"/>
      <c r="FDN67" s="170"/>
      <c r="FDO67" s="170"/>
      <c r="FDP67" s="170"/>
      <c r="FDQ67" s="170"/>
      <c r="FDR67" s="170"/>
      <c r="FDS67" s="170"/>
      <c r="FDT67" s="170"/>
      <c r="FDU67" s="170"/>
      <c r="FDV67" s="170"/>
      <c r="FDW67" s="170"/>
      <c r="FDX67" s="170"/>
      <c r="FDY67" s="170"/>
      <c r="FDZ67" s="170"/>
      <c r="FEA67" s="170"/>
      <c r="FEB67" s="170"/>
      <c r="FEC67" s="170"/>
      <c r="FED67" s="170"/>
      <c r="FEE67" s="170"/>
      <c r="FEF67" s="170"/>
      <c r="FEG67" s="170"/>
      <c r="FEH67" s="170"/>
      <c r="FEI67" s="170"/>
      <c r="FEJ67" s="170"/>
      <c r="FEK67" s="170"/>
      <c r="FEL67" s="170"/>
      <c r="FEM67" s="170"/>
      <c r="FEN67" s="170"/>
      <c r="FEO67" s="170"/>
      <c r="FEP67" s="170"/>
      <c r="FEQ67" s="170"/>
      <c r="FER67" s="170"/>
      <c r="FES67" s="170"/>
      <c r="FET67" s="170"/>
      <c r="FEU67" s="170"/>
      <c r="FEV67" s="170"/>
      <c r="FEW67" s="170"/>
      <c r="FEX67" s="170"/>
      <c r="FEY67" s="170"/>
      <c r="FEZ67" s="170"/>
      <c r="FFA67" s="170"/>
      <c r="FFB67" s="170"/>
      <c r="FFC67" s="170"/>
      <c r="FFD67" s="170"/>
      <c r="FFE67" s="170"/>
      <c r="FFF67" s="170"/>
      <c r="FFG67" s="170"/>
      <c r="FFH67" s="170"/>
      <c r="FFI67" s="170"/>
      <c r="FFJ67" s="170"/>
      <c r="FFK67" s="170"/>
      <c r="FFL67" s="170"/>
      <c r="FFM67" s="170"/>
      <c r="FFN67" s="170"/>
      <c r="FFO67" s="170"/>
      <c r="FFP67" s="170"/>
      <c r="FFQ67" s="170"/>
      <c r="FFR67" s="170"/>
      <c r="FFS67" s="170"/>
      <c r="FFT67" s="170"/>
      <c r="FFU67" s="170"/>
      <c r="FFV67" s="170"/>
      <c r="FFW67" s="170"/>
      <c r="FFX67" s="170"/>
      <c r="FFY67" s="170"/>
      <c r="FFZ67" s="170"/>
      <c r="FGA67" s="170"/>
      <c r="FGB67" s="170"/>
      <c r="FGC67" s="170"/>
      <c r="FGD67" s="170"/>
      <c r="FGE67" s="170"/>
      <c r="FGF67" s="170"/>
      <c r="FGG67" s="170"/>
      <c r="FGH67" s="170"/>
      <c r="FGI67" s="170"/>
      <c r="FGJ67" s="170"/>
      <c r="FGK67" s="170"/>
      <c r="FGL67" s="170"/>
      <c r="FGM67" s="170"/>
      <c r="FGN67" s="170"/>
      <c r="FGO67" s="170"/>
      <c r="FGP67" s="170"/>
      <c r="FGQ67" s="170"/>
      <c r="FGR67" s="170"/>
      <c r="FGS67" s="170"/>
      <c r="FGT67" s="170"/>
      <c r="FGU67" s="170"/>
      <c r="FGV67" s="170"/>
      <c r="FGW67" s="170"/>
      <c r="FGX67" s="170"/>
      <c r="FGY67" s="170"/>
      <c r="FGZ67" s="170"/>
      <c r="FHA67" s="170"/>
      <c r="FHB67" s="170"/>
      <c r="FHC67" s="170"/>
      <c r="FHD67" s="170"/>
      <c r="FHE67" s="170"/>
      <c r="FHF67" s="170"/>
      <c r="FHG67" s="170"/>
      <c r="FHH67" s="170"/>
      <c r="FHI67" s="170"/>
      <c r="FHJ67" s="170"/>
      <c r="FHK67" s="170"/>
      <c r="FHL67" s="170"/>
      <c r="FHM67" s="170"/>
      <c r="FHN67" s="170"/>
      <c r="FHO67" s="170"/>
      <c r="FHP67" s="170"/>
      <c r="FHQ67" s="170"/>
      <c r="FHR67" s="170"/>
      <c r="FHS67" s="170"/>
      <c r="FHT67" s="170"/>
      <c r="FHU67" s="170"/>
      <c r="FHV67" s="170"/>
      <c r="FHW67" s="170"/>
      <c r="FHX67" s="170"/>
      <c r="FHY67" s="170"/>
      <c r="FHZ67" s="170"/>
      <c r="FIA67" s="170"/>
      <c r="FIB67" s="170"/>
      <c r="FIC67" s="170"/>
      <c r="FID67" s="170"/>
      <c r="FIE67" s="170"/>
      <c r="FIF67" s="170"/>
      <c r="FIG67" s="170"/>
      <c r="FIH67" s="170"/>
      <c r="FII67" s="170"/>
      <c r="FIJ67" s="170"/>
      <c r="FIK67" s="170"/>
      <c r="FIL67" s="170"/>
      <c r="FIM67" s="170"/>
      <c r="FIN67" s="170"/>
      <c r="FIO67" s="170"/>
      <c r="FIP67" s="170"/>
      <c r="FIQ67" s="170"/>
      <c r="FIR67" s="170"/>
      <c r="FIS67" s="170"/>
      <c r="FIT67" s="170"/>
      <c r="FIU67" s="170"/>
      <c r="FIV67" s="170"/>
      <c r="FIW67" s="170"/>
      <c r="FIX67" s="170"/>
      <c r="FIY67" s="170"/>
      <c r="FIZ67" s="170"/>
      <c r="FJA67" s="170"/>
      <c r="FJB67" s="170"/>
      <c r="FJC67" s="170"/>
      <c r="FJD67" s="170"/>
      <c r="FJE67" s="170"/>
      <c r="FJF67" s="170"/>
      <c r="FJG67" s="170"/>
      <c r="FJH67" s="170"/>
      <c r="FJI67" s="170"/>
      <c r="FJJ67" s="170"/>
      <c r="FJK67" s="170"/>
      <c r="FJL67" s="170"/>
      <c r="FJM67" s="170"/>
      <c r="FJN67" s="170"/>
      <c r="FJO67" s="170"/>
      <c r="FJP67" s="170"/>
      <c r="FJQ67" s="170"/>
      <c r="FJR67" s="170"/>
      <c r="FJS67" s="170"/>
      <c r="FJT67" s="170"/>
      <c r="FJU67" s="170"/>
      <c r="FJV67" s="170"/>
      <c r="FJW67" s="170"/>
      <c r="FJX67" s="170"/>
      <c r="FJY67" s="170"/>
      <c r="FJZ67" s="170"/>
      <c r="FKA67" s="170"/>
      <c r="FKB67" s="170"/>
      <c r="FKC67" s="170"/>
      <c r="FKD67" s="170"/>
      <c r="FKE67" s="170"/>
      <c r="FKF67" s="170"/>
      <c r="FKG67" s="170"/>
      <c r="FKH67" s="170"/>
      <c r="FKI67" s="170"/>
      <c r="FKJ67" s="170"/>
      <c r="FKK67" s="170"/>
      <c r="FKL67" s="170"/>
      <c r="FKM67" s="170"/>
      <c r="FKN67" s="170"/>
      <c r="FKO67" s="170"/>
      <c r="FKP67" s="170"/>
      <c r="FKQ67" s="170"/>
      <c r="FKR67" s="170"/>
      <c r="FKS67" s="170"/>
      <c r="FKT67" s="170"/>
      <c r="FKU67" s="170"/>
      <c r="FKV67" s="170"/>
      <c r="FKW67" s="170"/>
      <c r="FKX67" s="170"/>
      <c r="FKY67" s="170"/>
      <c r="FKZ67" s="170"/>
      <c r="FLA67" s="170"/>
      <c r="FLB67" s="170"/>
      <c r="FLC67" s="170"/>
      <c r="FLD67" s="170"/>
      <c r="FLE67" s="170"/>
      <c r="FLF67" s="170"/>
      <c r="FLG67" s="170"/>
      <c r="FLH67" s="170"/>
      <c r="FLI67" s="170"/>
      <c r="FLJ67" s="170"/>
      <c r="FLK67" s="170"/>
      <c r="FLL67" s="170"/>
      <c r="FLM67" s="170"/>
      <c r="FLN67" s="170"/>
      <c r="FLO67" s="170"/>
      <c r="FLP67" s="170"/>
      <c r="FLQ67" s="170"/>
      <c r="FLR67" s="170"/>
      <c r="FLS67" s="170"/>
      <c r="FLT67" s="170"/>
      <c r="FLU67" s="170"/>
      <c r="FLV67" s="170"/>
      <c r="FLW67" s="170"/>
      <c r="FLX67" s="170"/>
      <c r="FLY67" s="170"/>
      <c r="FLZ67" s="170"/>
      <c r="FMA67" s="170"/>
      <c r="FMB67" s="170"/>
      <c r="FMC67" s="170"/>
      <c r="FMD67" s="170"/>
      <c r="FME67" s="170"/>
      <c r="FMF67" s="170"/>
      <c r="FMG67" s="170"/>
      <c r="FMH67" s="170"/>
      <c r="FMI67" s="170"/>
      <c r="FMJ67" s="170"/>
      <c r="FMK67" s="170"/>
      <c r="FML67" s="170"/>
      <c r="FMM67" s="170"/>
      <c r="FMN67" s="170"/>
      <c r="FMO67" s="170"/>
      <c r="FMP67" s="170"/>
      <c r="FMQ67" s="170"/>
      <c r="FMR67" s="170"/>
      <c r="FMS67" s="170"/>
      <c r="FMT67" s="170"/>
      <c r="FMU67" s="170"/>
      <c r="FMV67" s="170"/>
      <c r="FMW67" s="170"/>
      <c r="FMX67" s="170"/>
      <c r="FMY67" s="170"/>
      <c r="FMZ67" s="170"/>
      <c r="FNA67" s="170"/>
      <c r="FNB67" s="170"/>
      <c r="FNC67" s="170"/>
      <c r="FND67" s="170"/>
      <c r="FNE67" s="170"/>
      <c r="FNF67" s="170"/>
      <c r="FNG67" s="170"/>
      <c r="FNH67" s="170"/>
      <c r="FNI67" s="170"/>
      <c r="FNJ67" s="170"/>
      <c r="FNK67" s="170"/>
      <c r="FNL67" s="170"/>
      <c r="FNM67" s="170"/>
      <c r="FNN67" s="170"/>
      <c r="FNO67" s="170"/>
      <c r="FNP67" s="170"/>
      <c r="FNQ67" s="170"/>
      <c r="FNR67" s="170"/>
      <c r="FNS67" s="170"/>
      <c r="FNT67" s="170"/>
      <c r="FNU67" s="170"/>
      <c r="FNV67" s="170"/>
      <c r="FNW67" s="170"/>
      <c r="FNX67" s="170"/>
      <c r="FNY67" s="170"/>
      <c r="FNZ67" s="170"/>
      <c r="FOA67" s="170"/>
      <c r="FOB67" s="170"/>
      <c r="FOC67" s="170"/>
      <c r="FOD67" s="170"/>
      <c r="FOE67" s="170"/>
      <c r="FOF67" s="170"/>
      <c r="FOG67" s="170"/>
      <c r="FOH67" s="170"/>
      <c r="FOI67" s="170"/>
      <c r="FOJ67" s="170"/>
      <c r="FOK67" s="170"/>
      <c r="FOL67" s="170"/>
      <c r="FOM67" s="170"/>
      <c r="FON67" s="170"/>
      <c r="FOO67" s="170"/>
      <c r="FOP67" s="170"/>
      <c r="FOQ67" s="170"/>
      <c r="FOR67" s="170"/>
      <c r="FOS67" s="170"/>
      <c r="FOT67" s="170"/>
      <c r="FOU67" s="170"/>
      <c r="FOV67" s="170"/>
      <c r="FOW67" s="170"/>
      <c r="FOX67" s="170"/>
      <c r="FOY67" s="170"/>
      <c r="FOZ67" s="170"/>
      <c r="FPA67" s="170"/>
      <c r="FPB67" s="170"/>
      <c r="FPC67" s="170"/>
      <c r="FPD67" s="170"/>
      <c r="FPE67" s="170"/>
      <c r="FPF67" s="170"/>
      <c r="FPG67" s="170"/>
      <c r="FPH67" s="170"/>
      <c r="FPI67" s="170"/>
      <c r="FPJ67" s="170"/>
      <c r="FPK67" s="170"/>
      <c r="FPL67" s="170"/>
      <c r="FPM67" s="170"/>
      <c r="FPN67" s="170"/>
      <c r="FPO67" s="170"/>
      <c r="FPP67" s="170"/>
      <c r="FPQ67" s="170"/>
      <c r="FPR67" s="170"/>
      <c r="FPS67" s="170"/>
      <c r="FPT67" s="170"/>
      <c r="FPU67" s="170"/>
      <c r="FPV67" s="170"/>
      <c r="FPW67" s="170"/>
      <c r="FPX67" s="170"/>
      <c r="FPY67" s="170"/>
      <c r="FPZ67" s="170"/>
      <c r="FQA67" s="170"/>
      <c r="FQB67" s="170"/>
      <c r="FQC67" s="170"/>
      <c r="FQD67" s="170"/>
      <c r="FQE67" s="170"/>
      <c r="FQF67" s="170"/>
      <c r="FQG67" s="170"/>
      <c r="FQH67" s="170"/>
      <c r="FQI67" s="170"/>
      <c r="FQJ67" s="170"/>
      <c r="FQK67" s="170"/>
      <c r="FQL67" s="170"/>
      <c r="FQM67" s="170"/>
      <c r="FQN67" s="170"/>
      <c r="FQO67" s="170"/>
      <c r="FQP67" s="170"/>
      <c r="FQQ67" s="170"/>
      <c r="FQR67" s="170"/>
      <c r="FQS67" s="170"/>
      <c r="FQT67" s="170"/>
      <c r="FQU67" s="170"/>
      <c r="FQV67" s="170"/>
      <c r="FQW67" s="170"/>
      <c r="FQX67" s="170"/>
      <c r="FQY67" s="170"/>
      <c r="FQZ67" s="170"/>
      <c r="FRA67" s="170"/>
      <c r="FRB67" s="170"/>
      <c r="FRC67" s="170"/>
      <c r="FRD67" s="170"/>
      <c r="FRE67" s="170"/>
      <c r="FRF67" s="170"/>
      <c r="FRG67" s="170"/>
      <c r="FRH67" s="170"/>
      <c r="FRI67" s="170"/>
      <c r="FRJ67" s="170"/>
      <c r="FRK67" s="170"/>
      <c r="FRL67" s="170"/>
      <c r="FRM67" s="170"/>
      <c r="FRN67" s="170"/>
      <c r="FRO67" s="170"/>
      <c r="FRP67" s="170"/>
      <c r="FRQ67" s="170"/>
      <c r="FRR67" s="170"/>
      <c r="FRS67" s="170"/>
      <c r="FRT67" s="170"/>
      <c r="FRU67" s="170"/>
      <c r="FRV67" s="170"/>
      <c r="FRW67" s="170"/>
      <c r="FRX67" s="170"/>
      <c r="FRY67" s="170"/>
      <c r="FRZ67" s="170"/>
      <c r="FSA67" s="170"/>
      <c r="FSB67" s="170"/>
      <c r="FSC67" s="170"/>
      <c r="FSD67" s="170"/>
      <c r="FSE67" s="170"/>
      <c r="FSF67" s="170"/>
      <c r="FSG67" s="170"/>
      <c r="FSH67" s="170"/>
      <c r="FSI67" s="170"/>
      <c r="FSJ67" s="170"/>
      <c r="FSK67" s="170"/>
      <c r="FSL67" s="170"/>
      <c r="FSM67" s="170"/>
      <c r="FSN67" s="170"/>
      <c r="FSO67" s="170"/>
      <c r="FSP67" s="170"/>
      <c r="FSQ67" s="170"/>
      <c r="FSR67" s="170"/>
      <c r="FSS67" s="170"/>
      <c r="FST67" s="170"/>
      <c r="FSU67" s="170"/>
      <c r="FSV67" s="170"/>
      <c r="FSW67" s="170"/>
      <c r="FSX67" s="170"/>
      <c r="FSY67" s="170"/>
      <c r="FSZ67" s="170"/>
      <c r="FTA67" s="170"/>
      <c r="FTB67" s="170"/>
      <c r="FTC67" s="170"/>
      <c r="FTD67" s="170"/>
      <c r="FTE67" s="170"/>
      <c r="FTF67" s="170"/>
      <c r="FTG67" s="170"/>
      <c r="FTH67" s="170"/>
      <c r="FTI67" s="170"/>
      <c r="FTJ67" s="170"/>
      <c r="FTK67" s="170"/>
      <c r="FTL67" s="170"/>
      <c r="FTM67" s="170"/>
      <c r="FTN67" s="170"/>
      <c r="FTO67" s="170"/>
      <c r="FTP67" s="170"/>
      <c r="FTQ67" s="170"/>
      <c r="FTR67" s="170"/>
      <c r="FTS67" s="170"/>
      <c r="FTT67" s="170"/>
      <c r="FTU67" s="170"/>
      <c r="FTV67" s="170"/>
      <c r="FTW67" s="170"/>
      <c r="FTX67" s="170"/>
      <c r="FTY67" s="170"/>
      <c r="FTZ67" s="170"/>
      <c r="FUA67" s="170"/>
      <c r="FUB67" s="170"/>
      <c r="FUC67" s="170"/>
      <c r="FUD67" s="170"/>
      <c r="FUE67" s="170"/>
      <c r="FUF67" s="170"/>
      <c r="FUG67" s="170"/>
      <c r="FUH67" s="170"/>
      <c r="FUI67" s="170"/>
      <c r="FUJ67" s="170"/>
      <c r="FUK67" s="170"/>
      <c r="FUL67" s="170"/>
      <c r="FUM67" s="170"/>
      <c r="FUN67" s="170"/>
      <c r="FUO67" s="170"/>
      <c r="FUP67" s="170"/>
      <c r="FUQ67" s="170"/>
      <c r="FUR67" s="170"/>
      <c r="FUS67" s="170"/>
      <c r="FUT67" s="170"/>
      <c r="FUU67" s="170"/>
      <c r="FUV67" s="170"/>
      <c r="FUW67" s="170"/>
      <c r="FUX67" s="170"/>
      <c r="FUY67" s="170"/>
      <c r="FUZ67" s="170"/>
      <c r="FVA67" s="170"/>
      <c r="FVB67" s="170"/>
      <c r="FVC67" s="170"/>
      <c r="FVD67" s="170"/>
      <c r="FVE67" s="170"/>
      <c r="FVF67" s="170"/>
      <c r="FVG67" s="170"/>
      <c r="FVH67" s="170"/>
      <c r="FVI67" s="170"/>
      <c r="FVJ67" s="170"/>
      <c r="FVK67" s="170"/>
      <c r="FVL67" s="170"/>
      <c r="FVM67" s="170"/>
      <c r="FVN67" s="170"/>
      <c r="FVO67" s="170"/>
      <c r="FVP67" s="170"/>
      <c r="FVQ67" s="170"/>
      <c r="FVR67" s="170"/>
      <c r="FVS67" s="170"/>
      <c r="FVT67" s="170"/>
      <c r="FVU67" s="170"/>
      <c r="FVV67" s="170"/>
      <c r="FVW67" s="170"/>
      <c r="FVX67" s="170"/>
      <c r="FVY67" s="170"/>
      <c r="FVZ67" s="170"/>
      <c r="FWA67" s="170"/>
      <c r="FWB67" s="170"/>
      <c r="FWC67" s="170"/>
      <c r="FWD67" s="170"/>
      <c r="FWE67" s="170"/>
      <c r="FWF67" s="170"/>
      <c r="FWG67" s="170"/>
      <c r="FWH67" s="170"/>
      <c r="FWI67" s="170"/>
      <c r="FWJ67" s="170"/>
      <c r="FWK67" s="170"/>
      <c r="FWL67" s="170"/>
      <c r="FWM67" s="170"/>
      <c r="FWN67" s="170"/>
      <c r="FWO67" s="170"/>
      <c r="FWP67" s="170"/>
      <c r="FWQ67" s="170"/>
      <c r="FWR67" s="170"/>
      <c r="FWS67" s="170"/>
      <c r="FWT67" s="170"/>
      <c r="FWU67" s="170"/>
      <c r="FWV67" s="170"/>
      <c r="FWW67" s="170"/>
      <c r="FWX67" s="170"/>
      <c r="FWY67" s="170"/>
      <c r="FWZ67" s="170"/>
      <c r="FXA67" s="170"/>
      <c r="FXB67" s="170"/>
      <c r="FXC67" s="170"/>
      <c r="FXD67" s="170"/>
      <c r="FXE67" s="170"/>
      <c r="FXF67" s="170"/>
      <c r="FXG67" s="170"/>
      <c r="FXH67" s="170"/>
      <c r="FXI67" s="170"/>
      <c r="FXJ67" s="170"/>
      <c r="FXK67" s="170"/>
      <c r="FXL67" s="170"/>
      <c r="FXM67" s="170"/>
      <c r="FXN67" s="170"/>
      <c r="FXO67" s="170"/>
      <c r="FXP67" s="170"/>
      <c r="FXQ67" s="170"/>
      <c r="FXR67" s="170"/>
      <c r="FXS67" s="170"/>
      <c r="FXT67" s="170"/>
      <c r="FXU67" s="170"/>
      <c r="FXV67" s="170"/>
      <c r="FXW67" s="170"/>
      <c r="FXX67" s="170"/>
      <c r="FXY67" s="170"/>
      <c r="FXZ67" s="170"/>
      <c r="FYA67" s="170"/>
      <c r="FYB67" s="170"/>
      <c r="FYC67" s="170"/>
      <c r="FYD67" s="170"/>
      <c r="FYE67" s="170"/>
      <c r="FYF67" s="170"/>
      <c r="FYG67" s="170"/>
      <c r="FYH67" s="170"/>
      <c r="FYI67" s="170"/>
      <c r="FYJ67" s="170"/>
      <c r="FYK67" s="170"/>
      <c r="FYL67" s="170"/>
      <c r="FYM67" s="170"/>
      <c r="FYN67" s="170"/>
      <c r="FYO67" s="170"/>
      <c r="FYP67" s="170"/>
      <c r="FYQ67" s="170"/>
      <c r="FYR67" s="170"/>
      <c r="FYS67" s="170"/>
      <c r="FYT67" s="170"/>
      <c r="FYU67" s="170"/>
      <c r="FYV67" s="170"/>
      <c r="FYW67" s="170"/>
      <c r="FYX67" s="170"/>
      <c r="FYY67" s="170"/>
      <c r="FYZ67" s="170"/>
      <c r="FZA67" s="170"/>
      <c r="FZB67" s="170"/>
      <c r="FZC67" s="170"/>
      <c r="FZD67" s="170"/>
      <c r="FZE67" s="170"/>
      <c r="FZF67" s="170"/>
      <c r="FZG67" s="170"/>
      <c r="FZH67" s="170"/>
      <c r="FZI67" s="170"/>
      <c r="FZJ67" s="170"/>
      <c r="FZK67" s="170"/>
      <c r="FZL67" s="170"/>
      <c r="FZM67" s="170"/>
      <c r="FZN67" s="170"/>
      <c r="FZO67" s="170"/>
      <c r="FZP67" s="170"/>
      <c r="FZQ67" s="170"/>
      <c r="FZR67" s="170"/>
      <c r="FZS67" s="170"/>
      <c r="FZT67" s="170"/>
      <c r="FZU67" s="170"/>
      <c r="FZV67" s="170"/>
      <c r="FZW67" s="170"/>
      <c r="FZX67" s="170"/>
      <c r="FZY67" s="170"/>
      <c r="FZZ67" s="170"/>
      <c r="GAA67" s="170"/>
      <c r="GAB67" s="170"/>
      <c r="GAC67" s="170"/>
      <c r="GAD67" s="170"/>
      <c r="GAE67" s="170"/>
      <c r="GAF67" s="170"/>
      <c r="GAG67" s="170"/>
      <c r="GAH67" s="170"/>
      <c r="GAI67" s="170"/>
      <c r="GAJ67" s="170"/>
      <c r="GAK67" s="170"/>
      <c r="GAL67" s="170"/>
      <c r="GAM67" s="170"/>
      <c r="GAN67" s="170"/>
      <c r="GAO67" s="170"/>
      <c r="GAP67" s="170"/>
      <c r="GAQ67" s="170"/>
      <c r="GAR67" s="170"/>
      <c r="GAS67" s="170"/>
      <c r="GAT67" s="170"/>
      <c r="GAU67" s="170"/>
      <c r="GAV67" s="170"/>
      <c r="GAW67" s="170"/>
      <c r="GAX67" s="170"/>
      <c r="GAY67" s="170"/>
      <c r="GAZ67" s="170"/>
      <c r="GBA67" s="170"/>
      <c r="GBB67" s="170"/>
      <c r="GBC67" s="170"/>
      <c r="GBD67" s="170"/>
      <c r="GBE67" s="170"/>
      <c r="GBF67" s="170"/>
      <c r="GBG67" s="170"/>
      <c r="GBH67" s="170"/>
      <c r="GBI67" s="170"/>
      <c r="GBJ67" s="170"/>
      <c r="GBK67" s="170"/>
      <c r="GBL67" s="170"/>
      <c r="GBM67" s="170"/>
      <c r="GBN67" s="170"/>
      <c r="GBO67" s="170"/>
      <c r="GBP67" s="170"/>
      <c r="GBQ67" s="170"/>
      <c r="GBR67" s="170"/>
      <c r="GBS67" s="170"/>
      <c r="GBT67" s="170"/>
      <c r="GBU67" s="170"/>
      <c r="GBV67" s="170"/>
      <c r="GBW67" s="170"/>
      <c r="GBX67" s="170"/>
      <c r="GBY67" s="170"/>
      <c r="GBZ67" s="170"/>
      <c r="GCA67" s="170"/>
      <c r="GCB67" s="170"/>
      <c r="GCC67" s="170"/>
      <c r="GCD67" s="170"/>
      <c r="GCE67" s="170"/>
      <c r="GCF67" s="170"/>
      <c r="GCG67" s="170"/>
      <c r="GCH67" s="170"/>
      <c r="GCI67" s="170"/>
      <c r="GCJ67" s="170"/>
      <c r="GCK67" s="170"/>
      <c r="GCL67" s="170"/>
      <c r="GCM67" s="170"/>
      <c r="GCN67" s="170"/>
      <c r="GCO67" s="170"/>
      <c r="GCP67" s="170"/>
      <c r="GCQ67" s="170"/>
      <c r="GCR67" s="170"/>
      <c r="GCS67" s="170"/>
      <c r="GCT67" s="170"/>
      <c r="GCU67" s="170"/>
      <c r="GCV67" s="170"/>
      <c r="GCW67" s="170"/>
      <c r="GCX67" s="170"/>
      <c r="GCY67" s="170"/>
      <c r="GCZ67" s="170"/>
      <c r="GDA67" s="170"/>
      <c r="GDB67" s="170"/>
      <c r="GDC67" s="170"/>
      <c r="GDD67" s="170"/>
      <c r="GDE67" s="170"/>
      <c r="GDF67" s="170"/>
      <c r="GDG67" s="170"/>
      <c r="GDH67" s="170"/>
      <c r="GDI67" s="170"/>
      <c r="GDJ67" s="170"/>
      <c r="GDK67" s="170"/>
      <c r="GDL67" s="170"/>
      <c r="GDM67" s="170"/>
      <c r="GDN67" s="170"/>
      <c r="GDO67" s="170"/>
      <c r="GDP67" s="170"/>
      <c r="GDQ67" s="170"/>
      <c r="GDR67" s="170"/>
      <c r="GDS67" s="170"/>
      <c r="GDT67" s="170"/>
      <c r="GDU67" s="170"/>
      <c r="GDV67" s="170"/>
      <c r="GDW67" s="170"/>
      <c r="GDX67" s="170"/>
      <c r="GDY67" s="170"/>
      <c r="GDZ67" s="170"/>
      <c r="GEA67" s="170"/>
      <c r="GEB67" s="170"/>
      <c r="GEC67" s="170"/>
      <c r="GED67" s="170"/>
      <c r="GEE67" s="170"/>
      <c r="GEF67" s="170"/>
      <c r="GEG67" s="170"/>
      <c r="GEH67" s="170"/>
      <c r="GEI67" s="170"/>
      <c r="GEJ67" s="170"/>
      <c r="GEK67" s="170"/>
      <c r="GEL67" s="170"/>
      <c r="GEM67" s="170"/>
      <c r="GEN67" s="170"/>
      <c r="GEO67" s="170"/>
      <c r="GEP67" s="170"/>
      <c r="GEQ67" s="170"/>
      <c r="GER67" s="170"/>
      <c r="GES67" s="170"/>
      <c r="GET67" s="170"/>
      <c r="GEU67" s="170"/>
      <c r="GEV67" s="170"/>
      <c r="GEW67" s="170"/>
      <c r="GEX67" s="170"/>
      <c r="GEY67" s="170"/>
      <c r="GEZ67" s="170"/>
      <c r="GFA67" s="170"/>
      <c r="GFB67" s="170"/>
      <c r="GFC67" s="170"/>
      <c r="GFD67" s="170"/>
      <c r="GFE67" s="170"/>
      <c r="GFF67" s="170"/>
      <c r="GFG67" s="170"/>
      <c r="GFH67" s="170"/>
      <c r="GFI67" s="170"/>
      <c r="GFJ67" s="170"/>
      <c r="GFK67" s="170"/>
      <c r="GFL67" s="170"/>
      <c r="GFM67" s="170"/>
      <c r="GFN67" s="170"/>
      <c r="GFO67" s="170"/>
      <c r="GFP67" s="170"/>
      <c r="GFQ67" s="170"/>
      <c r="GFR67" s="170"/>
      <c r="GFS67" s="170"/>
      <c r="GFT67" s="170"/>
      <c r="GFU67" s="170"/>
      <c r="GFV67" s="170"/>
      <c r="GFW67" s="170"/>
      <c r="GFX67" s="170"/>
      <c r="GFY67" s="170"/>
      <c r="GFZ67" s="170"/>
      <c r="GGA67" s="170"/>
      <c r="GGB67" s="170"/>
      <c r="GGC67" s="170"/>
      <c r="GGD67" s="170"/>
      <c r="GGE67" s="170"/>
      <c r="GGF67" s="170"/>
      <c r="GGG67" s="170"/>
      <c r="GGH67" s="170"/>
      <c r="GGI67" s="170"/>
      <c r="GGJ67" s="170"/>
      <c r="GGK67" s="170"/>
      <c r="GGL67" s="170"/>
      <c r="GGM67" s="170"/>
      <c r="GGN67" s="170"/>
      <c r="GGO67" s="170"/>
      <c r="GGP67" s="170"/>
      <c r="GGQ67" s="170"/>
      <c r="GGR67" s="170"/>
      <c r="GGS67" s="170"/>
      <c r="GGT67" s="170"/>
      <c r="GGU67" s="170"/>
      <c r="GGV67" s="170"/>
      <c r="GGW67" s="170"/>
      <c r="GGX67" s="170"/>
      <c r="GGY67" s="170"/>
      <c r="GGZ67" s="170"/>
      <c r="GHA67" s="170"/>
      <c r="GHB67" s="170"/>
      <c r="GHC67" s="170"/>
      <c r="GHD67" s="170"/>
      <c r="GHE67" s="170"/>
      <c r="GHF67" s="170"/>
      <c r="GHG67" s="170"/>
      <c r="GHH67" s="170"/>
      <c r="GHI67" s="170"/>
      <c r="GHJ67" s="170"/>
      <c r="GHK67" s="170"/>
      <c r="GHL67" s="170"/>
      <c r="GHM67" s="170"/>
      <c r="GHN67" s="170"/>
      <c r="GHO67" s="170"/>
      <c r="GHP67" s="170"/>
      <c r="GHQ67" s="170"/>
      <c r="GHR67" s="170"/>
      <c r="GHS67" s="170"/>
      <c r="GHT67" s="170"/>
      <c r="GHU67" s="170"/>
      <c r="GHV67" s="170"/>
      <c r="GHW67" s="170"/>
      <c r="GHX67" s="170"/>
      <c r="GHY67" s="170"/>
      <c r="GHZ67" s="170"/>
      <c r="GIA67" s="170"/>
      <c r="GIB67" s="170"/>
      <c r="GIC67" s="170"/>
      <c r="GID67" s="170"/>
      <c r="GIE67" s="170"/>
      <c r="GIF67" s="170"/>
      <c r="GIG67" s="170"/>
      <c r="GIH67" s="170"/>
      <c r="GII67" s="170"/>
      <c r="GIJ67" s="170"/>
      <c r="GIK67" s="170"/>
      <c r="GIL67" s="170"/>
      <c r="GIM67" s="170"/>
      <c r="GIN67" s="170"/>
      <c r="GIO67" s="170"/>
      <c r="GIP67" s="170"/>
      <c r="GIQ67" s="170"/>
      <c r="GIR67" s="170"/>
      <c r="GIS67" s="170"/>
      <c r="GIT67" s="170"/>
      <c r="GIU67" s="170"/>
      <c r="GIV67" s="170"/>
      <c r="GIW67" s="170"/>
      <c r="GIX67" s="170"/>
      <c r="GIY67" s="170"/>
      <c r="GIZ67" s="170"/>
      <c r="GJA67" s="170"/>
      <c r="GJB67" s="170"/>
      <c r="GJC67" s="170"/>
      <c r="GJD67" s="170"/>
      <c r="GJE67" s="170"/>
      <c r="GJF67" s="170"/>
      <c r="GJG67" s="170"/>
      <c r="GJH67" s="170"/>
      <c r="GJI67" s="170"/>
      <c r="GJJ67" s="170"/>
      <c r="GJK67" s="170"/>
      <c r="GJL67" s="170"/>
      <c r="GJM67" s="170"/>
      <c r="GJN67" s="170"/>
      <c r="GJO67" s="170"/>
      <c r="GJP67" s="170"/>
      <c r="GJQ67" s="170"/>
      <c r="GJR67" s="170"/>
      <c r="GJS67" s="170"/>
      <c r="GJT67" s="170"/>
      <c r="GJU67" s="170"/>
      <c r="GJV67" s="170"/>
      <c r="GJW67" s="170"/>
      <c r="GJX67" s="170"/>
      <c r="GJY67" s="170"/>
      <c r="GJZ67" s="170"/>
      <c r="GKA67" s="170"/>
      <c r="GKB67" s="170"/>
      <c r="GKC67" s="170"/>
      <c r="GKD67" s="170"/>
      <c r="GKE67" s="170"/>
      <c r="GKF67" s="170"/>
      <c r="GKG67" s="170"/>
      <c r="GKH67" s="170"/>
      <c r="GKI67" s="170"/>
      <c r="GKJ67" s="170"/>
      <c r="GKK67" s="170"/>
      <c r="GKL67" s="170"/>
      <c r="GKM67" s="170"/>
      <c r="GKN67" s="170"/>
      <c r="GKO67" s="170"/>
      <c r="GKP67" s="170"/>
      <c r="GKQ67" s="170"/>
      <c r="GKR67" s="170"/>
      <c r="GKS67" s="170"/>
      <c r="GKT67" s="170"/>
      <c r="GKU67" s="170"/>
      <c r="GKV67" s="170"/>
      <c r="GKW67" s="170"/>
      <c r="GKX67" s="170"/>
      <c r="GKY67" s="170"/>
      <c r="GKZ67" s="170"/>
      <c r="GLA67" s="170"/>
      <c r="GLB67" s="170"/>
      <c r="GLC67" s="170"/>
      <c r="GLD67" s="170"/>
      <c r="GLE67" s="170"/>
      <c r="GLF67" s="170"/>
      <c r="GLG67" s="170"/>
      <c r="GLH67" s="170"/>
      <c r="GLI67" s="170"/>
      <c r="GLJ67" s="170"/>
      <c r="GLK67" s="170"/>
      <c r="GLL67" s="170"/>
      <c r="GLM67" s="170"/>
      <c r="GLN67" s="170"/>
      <c r="GLO67" s="170"/>
      <c r="GLP67" s="170"/>
      <c r="GLQ67" s="170"/>
      <c r="GLR67" s="170"/>
      <c r="GLS67" s="170"/>
      <c r="GLT67" s="170"/>
      <c r="GLU67" s="170"/>
      <c r="GLV67" s="170"/>
      <c r="GLW67" s="170"/>
      <c r="GLX67" s="170"/>
      <c r="GLY67" s="170"/>
      <c r="GLZ67" s="170"/>
      <c r="GMA67" s="170"/>
      <c r="GMB67" s="170"/>
      <c r="GMC67" s="170"/>
      <c r="GMD67" s="170"/>
      <c r="GME67" s="170"/>
      <c r="GMF67" s="170"/>
      <c r="GMG67" s="170"/>
      <c r="GMH67" s="170"/>
      <c r="GMI67" s="170"/>
      <c r="GMJ67" s="170"/>
      <c r="GMK67" s="170"/>
      <c r="GML67" s="170"/>
      <c r="GMM67" s="170"/>
      <c r="GMN67" s="170"/>
      <c r="GMO67" s="170"/>
      <c r="GMP67" s="170"/>
      <c r="GMQ67" s="170"/>
      <c r="GMR67" s="170"/>
      <c r="GMS67" s="170"/>
      <c r="GMT67" s="170"/>
      <c r="GMU67" s="170"/>
      <c r="GMV67" s="170"/>
      <c r="GMW67" s="170"/>
      <c r="GMX67" s="170"/>
      <c r="GMY67" s="170"/>
      <c r="GMZ67" s="170"/>
      <c r="GNA67" s="170"/>
      <c r="GNB67" s="170"/>
      <c r="GNC67" s="170"/>
      <c r="GND67" s="170"/>
      <c r="GNE67" s="170"/>
      <c r="GNF67" s="170"/>
      <c r="GNG67" s="170"/>
      <c r="GNH67" s="170"/>
      <c r="GNI67" s="170"/>
      <c r="GNJ67" s="170"/>
      <c r="GNK67" s="170"/>
      <c r="GNL67" s="170"/>
      <c r="GNM67" s="170"/>
      <c r="GNN67" s="170"/>
      <c r="GNO67" s="170"/>
      <c r="GNP67" s="170"/>
      <c r="GNQ67" s="170"/>
      <c r="GNR67" s="170"/>
      <c r="GNS67" s="170"/>
      <c r="GNT67" s="170"/>
      <c r="GNU67" s="170"/>
      <c r="GNV67" s="170"/>
      <c r="GNW67" s="170"/>
      <c r="GNX67" s="170"/>
      <c r="GNY67" s="170"/>
      <c r="GNZ67" s="170"/>
      <c r="GOA67" s="170"/>
      <c r="GOB67" s="170"/>
      <c r="GOC67" s="170"/>
      <c r="GOD67" s="170"/>
      <c r="GOE67" s="170"/>
      <c r="GOF67" s="170"/>
      <c r="GOG67" s="170"/>
      <c r="GOH67" s="170"/>
      <c r="GOI67" s="170"/>
      <c r="GOJ67" s="170"/>
      <c r="GOK67" s="170"/>
      <c r="GOL67" s="170"/>
      <c r="GOM67" s="170"/>
      <c r="GON67" s="170"/>
      <c r="GOO67" s="170"/>
      <c r="GOP67" s="170"/>
      <c r="GOQ67" s="170"/>
      <c r="GOR67" s="170"/>
      <c r="GOS67" s="170"/>
      <c r="GOT67" s="170"/>
      <c r="GOU67" s="170"/>
      <c r="GOV67" s="170"/>
      <c r="GOW67" s="170"/>
      <c r="GOX67" s="170"/>
      <c r="GOY67" s="170"/>
      <c r="GOZ67" s="170"/>
      <c r="GPA67" s="170"/>
      <c r="GPB67" s="170"/>
      <c r="GPC67" s="170"/>
      <c r="GPD67" s="170"/>
      <c r="GPE67" s="170"/>
      <c r="GPF67" s="170"/>
      <c r="GPG67" s="170"/>
      <c r="GPH67" s="170"/>
      <c r="GPI67" s="170"/>
      <c r="GPJ67" s="170"/>
      <c r="GPK67" s="170"/>
      <c r="GPL67" s="170"/>
      <c r="GPM67" s="170"/>
      <c r="GPN67" s="170"/>
      <c r="GPO67" s="170"/>
      <c r="GPP67" s="170"/>
      <c r="GPQ67" s="170"/>
      <c r="GPR67" s="170"/>
      <c r="GPS67" s="170"/>
      <c r="GPT67" s="170"/>
      <c r="GPU67" s="170"/>
      <c r="GPV67" s="170"/>
      <c r="GPW67" s="170"/>
      <c r="GPX67" s="170"/>
      <c r="GPY67" s="170"/>
      <c r="GPZ67" s="170"/>
      <c r="GQA67" s="170"/>
      <c r="GQB67" s="170"/>
      <c r="GQC67" s="170"/>
      <c r="GQD67" s="170"/>
      <c r="GQE67" s="170"/>
      <c r="GQF67" s="170"/>
      <c r="GQG67" s="170"/>
      <c r="GQH67" s="170"/>
      <c r="GQI67" s="170"/>
      <c r="GQJ67" s="170"/>
      <c r="GQK67" s="170"/>
      <c r="GQL67" s="170"/>
      <c r="GQM67" s="170"/>
      <c r="GQN67" s="170"/>
      <c r="GQO67" s="170"/>
      <c r="GQP67" s="170"/>
      <c r="GQQ67" s="170"/>
      <c r="GQR67" s="170"/>
      <c r="GQS67" s="170"/>
      <c r="GQT67" s="170"/>
      <c r="GQU67" s="170"/>
      <c r="GQV67" s="170"/>
      <c r="GQW67" s="170"/>
      <c r="GQX67" s="170"/>
      <c r="GQY67" s="170"/>
      <c r="GQZ67" s="170"/>
      <c r="GRA67" s="170"/>
      <c r="GRB67" s="170"/>
      <c r="GRC67" s="170"/>
      <c r="GRD67" s="170"/>
      <c r="GRE67" s="170"/>
      <c r="GRF67" s="170"/>
      <c r="GRG67" s="170"/>
      <c r="GRH67" s="170"/>
      <c r="GRI67" s="170"/>
      <c r="GRJ67" s="170"/>
      <c r="GRK67" s="170"/>
      <c r="GRL67" s="170"/>
      <c r="GRM67" s="170"/>
      <c r="GRN67" s="170"/>
      <c r="GRO67" s="170"/>
      <c r="GRP67" s="170"/>
      <c r="GRQ67" s="170"/>
      <c r="GRR67" s="170"/>
      <c r="GRS67" s="170"/>
      <c r="GRT67" s="170"/>
      <c r="GRU67" s="170"/>
      <c r="GRV67" s="170"/>
      <c r="GRW67" s="170"/>
      <c r="GRX67" s="170"/>
      <c r="GRY67" s="170"/>
      <c r="GRZ67" s="170"/>
      <c r="GSA67" s="170"/>
      <c r="GSB67" s="170"/>
      <c r="GSC67" s="170"/>
      <c r="GSD67" s="170"/>
      <c r="GSE67" s="170"/>
      <c r="GSF67" s="170"/>
      <c r="GSG67" s="170"/>
      <c r="GSH67" s="170"/>
      <c r="GSI67" s="170"/>
      <c r="GSJ67" s="170"/>
      <c r="GSK67" s="170"/>
      <c r="GSL67" s="170"/>
      <c r="GSM67" s="170"/>
      <c r="GSN67" s="170"/>
      <c r="GSO67" s="170"/>
      <c r="GSP67" s="170"/>
      <c r="GSQ67" s="170"/>
      <c r="GSR67" s="170"/>
      <c r="GSS67" s="170"/>
      <c r="GST67" s="170"/>
      <c r="GSU67" s="170"/>
      <c r="GSV67" s="170"/>
      <c r="GSW67" s="170"/>
      <c r="GSX67" s="170"/>
      <c r="GSY67" s="170"/>
      <c r="GSZ67" s="170"/>
      <c r="GTA67" s="170"/>
      <c r="GTB67" s="170"/>
      <c r="GTC67" s="170"/>
      <c r="GTD67" s="170"/>
      <c r="GTE67" s="170"/>
      <c r="GTF67" s="170"/>
      <c r="GTG67" s="170"/>
      <c r="GTH67" s="170"/>
      <c r="GTI67" s="170"/>
      <c r="GTJ67" s="170"/>
      <c r="GTK67" s="170"/>
      <c r="GTL67" s="170"/>
      <c r="GTM67" s="170"/>
      <c r="GTN67" s="170"/>
      <c r="GTO67" s="170"/>
      <c r="GTP67" s="170"/>
      <c r="GTQ67" s="170"/>
      <c r="GTR67" s="170"/>
      <c r="GTS67" s="170"/>
      <c r="GTT67" s="170"/>
      <c r="GTU67" s="170"/>
      <c r="GTV67" s="170"/>
      <c r="GTW67" s="170"/>
      <c r="GTX67" s="170"/>
      <c r="GTY67" s="170"/>
      <c r="GTZ67" s="170"/>
      <c r="GUA67" s="170"/>
      <c r="GUB67" s="170"/>
      <c r="GUC67" s="170"/>
      <c r="GUD67" s="170"/>
      <c r="GUE67" s="170"/>
      <c r="GUF67" s="170"/>
      <c r="GUG67" s="170"/>
      <c r="GUH67" s="170"/>
      <c r="GUI67" s="170"/>
      <c r="GUJ67" s="170"/>
      <c r="GUK67" s="170"/>
      <c r="GUL67" s="170"/>
      <c r="GUM67" s="170"/>
      <c r="GUN67" s="170"/>
      <c r="GUO67" s="170"/>
      <c r="GUP67" s="170"/>
      <c r="GUQ67" s="170"/>
      <c r="GUR67" s="170"/>
      <c r="GUS67" s="170"/>
      <c r="GUT67" s="170"/>
      <c r="GUU67" s="170"/>
      <c r="GUV67" s="170"/>
      <c r="GUW67" s="170"/>
      <c r="GUX67" s="170"/>
      <c r="GUY67" s="170"/>
      <c r="GUZ67" s="170"/>
      <c r="GVA67" s="170"/>
      <c r="GVB67" s="170"/>
      <c r="GVC67" s="170"/>
      <c r="GVD67" s="170"/>
      <c r="GVE67" s="170"/>
      <c r="GVF67" s="170"/>
      <c r="GVG67" s="170"/>
      <c r="GVH67" s="170"/>
      <c r="GVI67" s="170"/>
      <c r="GVJ67" s="170"/>
      <c r="GVK67" s="170"/>
      <c r="GVL67" s="170"/>
      <c r="GVM67" s="170"/>
      <c r="GVN67" s="170"/>
      <c r="GVO67" s="170"/>
      <c r="GVP67" s="170"/>
      <c r="GVQ67" s="170"/>
      <c r="GVR67" s="170"/>
      <c r="GVS67" s="170"/>
      <c r="GVT67" s="170"/>
      <c r="GVU67" s="170"/>
      <c r="GVV67" s="170"/>
      <c r="GVW67" s="170"/>
      <c r="GVX67" s="170"/>
      <c r="GVY67" s="170"/>
      <c r="GVZ67" s="170"/>
      <c r="GWA67" s="170"/>
      <c r="GWB67" s="170"/>
      <c r="GWC67" s="170"/>
      <c r="GWD67" s="170"/>
      <c r="GWE67" s="170"/>
      <c r="GWF67" s="170"/>
      <c r="GWG67" s="170"/>
      <c r="GWH67" s="170"/>
      <c r="GWI67" s="170"/>
      <c r="GWJ67" s="170"/>
      <c r="GWK67" s="170"/>
      <c r="GWL67" s="170"/>
      <c r="GWM67" s="170"/>
      <c r="GWN67" s="170"/>
      <c r="GWO67" s="170"/>
      <c r="GWP67" s="170"/>
      <c r="GWQ67" s="170"/>
      <c r="GWR67" s="170"/>
      <c r="GWS67" s="170"/>
      <c r="GWT67" s="170"/>
      <c r="GWU67" s="170"/>
      <c r="GWV67" s="170"/>
      <c r="GWW67" s="170"/>
      <c r="GWX67" s="170"/>
      <c r="GWY67" s="170"/>
      <c r="GWZ67" s="170"/>
      <c r="GXA67" s="170"/>
      <c r="GXB67" s="170"/>
      <c r="GXC67" s="170"/>
      <c r="GXD67" s="170"/>
      <c r="GXE67" s="170"/>
      <c r="GXF67" s="170"/>
      <c r="GXG67" s="170"/>
      <c r="GXH67" s="170"/>
      <c r="GXI67" s="170"/>
      <c r="GXJ67" s="170"/>
      <c r="GXK67" s="170"/>
      <c r="GXL67" s="170"/>
      <c r="GXM67" s="170"/>
      <c r="GXN67" s="170"/>
      <c r="GXO67" s="170"/>
      <c r="GXP67" s="170"/>
      <c r="GXQ67" s="170"/>
      <c r="GXR67" s="170"/>
      <c r="GXS67" s="170"/>
      <c r="GXT67" s="170"/>
      <c r="GXU67" s="170"/>
      <c r="GXV67" s="170"/>
      <c r="GXW67" s="170"/>
      <c r="GXX67" s="170"/>
      <c r="GXY67" s="170"/>
      <c r="GXZ67" s="170"/>
      <c r="GYA67" s="170"/>
      <c r="GYB67" s="170"/>
      <c r="GYC67" s="170"/>
      <c r="GYD67" s="170"/>
      <c r="GYE67" s="170"/>
      <c r="GYF67" s="170"/>
      <c r="GYG67" s="170"/>
      <c r="GYH67" s="170"/>
      <c r="GYI67" s="170"/>
      <c r="GYJ67" s="170"/>
      <c r="GYK67" s="170"/>
      <c r="GYL67" s="170"/>
      <c r="GYM67" s="170"/>
      <c r="GYN67" s="170"/>
      <c r="GYO67" s="170"/>
      <c r="GYP67" s="170"/>
      <c r="GYQ67" s="170"/>
      <c r="GYR67" s="170"/>
      <c r="GYS67" s="170"/>
      <c r="GYT67" s="170"/>
      <c r="GYU67" s="170"/>
      <c r="GYV67" s="170"/>
      <c r="GYW67" s="170"/>
      <c r="GYX67" s="170"/>
      <c r="GYY67" s="170"/>
      <c r="GYZ67" s="170"/>
      <c r="GZA67" s="170"/>
      <c r="GZB67" s="170"/>
      <c r="GZC67" s="170"/>
      <c r="GZD67" s="170"/>
      <c r="GZE67" s="170"/>
      <c r="GZF67" s="170"/>
      <c r="GZG67" s="170"/>
      <c r="GZH67" s="170"/>
      <c r="GZI67" s="170"/>
      <c r="GZJ67" s="170"/>
      <c r="GZK67" s="170"/>
      <c r="GZL67" s="170"/>
      <c r="GZM67" s="170"/>
      <c r="GZN67" s="170"/>
      <c r="GZO67" s="170"/>
      <c r="GZP67" s="170"/>
      <c r="GZQ67" s="170"/>
      <c r="GZR67" s="170"/>
      <c r="GZS67" s="170"/>
      <c r="GZT67" s="170"/>
      <c r="GZU67" s="170"/>
      <c r="GZV67" s="170"/>
      <c r="GZW67" s="170"/>
      <c r="GZX67" s="170"/>
      <c r="GZY67" s="170"/>
      <c r="GZZ67" s="170"/>
      <c r="HAA67" s="170"/>
      <c r="HAB67" s="170"/>
      <c r="HAC67" s="170"/>
      <c r="HAD67" s="170"/>
      <c r="HAE67" s="170"/>
      <c r="HAF67" s="170"/>
      <c r="HAG67" s="170"/>
      <c r="HAH67" s="170"/>
      <c r="HAI67" s="170"/>
      <c r="HAJ67" s="170"/>
      <c r="HAK67" s="170"/>
      <c r="HAL67" s="170"/>
      <c r="HAM67" s="170"/>
      <c r="HAN67" s="170"/>
      <c r="HAO67" s="170"/>
      <c r="HAP67" s="170"/>
      <c r="HAQ67" s="170"/>
      <c r="HAR67" s="170"/>
      <c r="HAS67" s="170"/>
      <c r="HAT67" s="170"/>
      <c r="HAU67" s="170"/>
      <c r="HAV67" s="170"/>
      <c r="HAW67" s="170"/>
      <c r="HAX67" s="170"/>
      <c r="HAY67" s="170"/>
      <c r="HAZ67" s="170"/>
      <c r="HBA67" s="170"/>
      <c r="HBB67" s="170"/>
      <c r="HBC67" s="170"/>
      <c r="HBD67" s="170"/>
      <c r="HBE67" s="170"/>
      <c r="HBF67" s="170"/>
      <c r="HBG67" s="170"/>
      <c r="HBH67" s="170"/>
      <c r="HBI67" s="170"/>
      <c r="HBJ67" s="170"/>
      <c r="HBK67" s="170"/>
      <c r="HBL67" s="170"/>
      <c r="HBM67" s="170"/>
      <c r="HBN67" s="170"/>
      <c r="HBO67" s="170"/>
      <c r="HBP67" s="170"/>
      <c r="HBQ67" s="170"/>
      <c r="HBR67" s="170"/>
      <c r="HBS67" s="170"/>
      <c r="HBT67" s="170"/>
      <c r="HBU67" s="170"/>
      <c r="HBV67" s="170"/>
      <c r="HBW67" s="170"/>
      <c r="HBX67" s="170"/>
      <c r="HBY67" s="170"/>
      <c r="HBZ67" s="170"/>
      <c r="HCA67" s="170"/>
      <c r="HCB67" s="170"/>
      <c r="HCC67" s="170"/>
      <c r="HCD67" s="170"/>
      <c r="HCE67" s="170"/>
      <c r="HCF67" s="170"/>
      <c r="HCG67" s="170"/>
      <c r="HCH67" s="170"/>
      <c r="HCI67" s="170"/>
      <c r="HCJ67" s="170"/>
      <c r="HCK67" s="170"/>
      <c r="HCL67" s="170"/>
      <c r="HCM67" s="170"/>
      <c r="HCN67" s="170"/>
      <c r="HCO67" s="170"/>
      <c r="HCP67" s="170"/>
      <c r="HCQ67" s="170"/>
      <c r="HCR67" s="170"/>
      <c r="HCS67" s="170"/>
      <c r="HCT67" s="170"/>
      <c r="HCU67" s="170"/>
      <c r="HCV67" s="170"/>
      <c r="HCW67" s="170"/>
      <c r="HCX67" s="170"/>
      <c r="HCY67" s="170"/>
      <c r="HCZ67" s="170"/>
      <c r="HDA67" s="170"/>
      <c r="HDB67" s="170"/>
      <c r="HDC67" s="170"/>
      <c r="HDD67" s="170"/>
      <c r="HDE67" s="170"/>
      <c r="HDF67" s="170"/>
      <c r="HDG67" s="170"/>
      <c r="HDH67" s="170"/>
      <c r="HDI67" s="170"/>
      <c r="HDJ67" s="170"/>
      <c r="HDK67" s="170"/>
      <c r="HDL67" s="170"/>
      <c r="HDM67" s="170"/>
      <c r="HDN67" s="170"/>
      <c r="HDO67" s="170"/>
      <c r="HDP67" s="170"/>
      <c r="HDQ67" s="170"/>
      <c r="HDR67" s="170"/>
      <c r="HDS67" s="170"/>
      <c r="HDT67" s="170"/>
      <c r="HDU67" s="170"/>
      <c r="HDV67" s="170"/>
      <c r="HDW67" s="170"/>
      <c r="HDX67" s="170"/>
      <c r="HDY67" s="170"/>
      <c r="HDZ67" s="170"/>
      <c r="HEA67" s="170"/>
      <c r="HEB67" s="170"/>
      <c r="HEC67" s="170"/>
      <c r="HED67" s="170"/>
      <c r="HEE67" s="170"/>
      <c r="HEF67" s="170"/>
      <c r="HEG67" s="170"/>
      <c r="HEH67" s="170"/>
      <c r="HEI67" s="170"/>
      <c r="HEJ67" s="170"/>
      <c r="HEK67" s="170"/>
      <c r="HEL67" s="170"/>
      <c r="HEM67" s="170"/>
      <c r="HEN67" s="170"/>
      <c r="HEO67" s="170"/>
      <c r="HEP67" s="170"/>
      <c r="HEQ67" s="170"/>
      <c r="HER67" s="170"/>
      <c r="HES67" s="170"/>
      <c r="HET67" s="170"/>
      <c r="HEU67" s="170"/>
      <c r="HEV67" s="170"/>
      <c r="HEW67" s="170"/>
      <c r="HEX67" s="170"/>
      <c r="HEY67" s="170"/>
      <c r="HEZ67" s="170"/>
      <c r="HFA67" s="170"/>
      <c r="HFB67" s="170"/>
      <c r="HFC67" s="170"/>
      <c r="HFD67" s="170"/>
      <c r="HFE67" s="170"/>
      <c r="HFF67" s="170"/>
      <c r="HFG67" s="170"/>
      <c r="HFH67" s="170"/>
      <c r="HFI67" s="170"/>
      <c r="HFJ67" s="170"/>
      <c r="HFK67" s="170"/>
      <c r="HFL67" s="170"/>
      <c r="HFM67" s="170"/>
      <c r="HFN67" s="170"/>
      <c r="HFO67" s="170"/>
      <c r="HFP67" s="170"/>
      <c r="HFQ67" s="170"/>
      <c r="HFR67" s="170"/>
      <c r="HFS67" s="170"/>
      <c r="HFT67" s="170"/>
      <c r="HFU67" s="170"/>
      <c r="HFV67" s="170"/>
      <c r="HFW67" s="170"/>
      <c r="HFX67" s="170"/>
      <c r="HFY67" s="170"/>
      <c r="HFZ67" s="170"/>
      <c r="HGA67" s="170"/>
      <c r="HGB67" s="170"/>
      <c r="HGC67" s="170"/>
      <c r="HGD67" s="170"/>
      <c r="HGE67" s="170"/>
      <c r="HGF67" s="170"/>
      <c r="HGG67" s="170"/>
      <c r="HGH67" s="170"/>
      <c r="HGI67" s="170"/>
      <c r="HGJ67" s="170"/>
      <c r="HGK67" s="170"/>
      <c r="HGL67" s="170"/>
      <c r="HGM67" s="170"/>
      <c r="HGN67" s="170"/>
      <c r="HGO67" s="170"/>
      <c r="HGP67" s="170"/>
      <c r="HGQ67" s="170"/>
      <c r="HGR67" s="170"/>
      <c r="HGS67" s="170"/>
      <c r="HGT67" s="170"/>
      <c r="HGU67" s="170"/>
      <c r="HGV67" s="170"/>
      <c r="HGW67" s="170"/>
      <c r="HGX67" s="170"/>
      <c r="HGY67" s="170"/>
      <c r="HGZ67" s="170"/>
      <c r="HHA67" s="170"/>
      <c r="HHB67" s="170"/>
      <c r="HHC67" s="170"/>
      <c r="HHD67" s="170"/>
      <c r="HHE67" s="170"/>
      <c r="HHF67" s="170"/>
      <c r="HHG67" s="170"/>
      <c r="HHH67" s="170"/>
      <c r="HHI67" s="170"/>
      <c r="HHJ67" s="170"/>
      <c r="HHK67" s="170"/>
      <c r="HHL67" s="170"/>
      <c r="HHM67" s="170"/>
      <c r="HHN67" s="170"/>
      <c r="HHO67" s="170"/>
      <c r="HHP67" s="170"/>
      <c r="HHQ67" s="170"/>
      <c r="HHR67" s="170"/>
      <c r="HHS67" s="170"/>
      <c r="HHT67" s="170"/>
      <c r="HHU67" s="170"/>
      <c r="HHV67" s="170"/>
      <c r="HHW67" s="170"/>
      <c r="HHX67" s="170"/>
      <c r="HHY67" s="170"/>
      <c r="HHZ67" s="170"/>
      <c r="HIA67" s="170"/>
      <c r="HIB67" s="170"/>
      <c r="HIC67" s="170"/>
      <c r="HID67" s="170"/>
      <c r="HIE67" s="170"/>
      <c r="HIF67" s="170"/>
      <c r="HIG67" s="170"/>
      <c r="HIH67" s="170"/>
      <c r="HII67" s="170"/>
      <c r="HIJ67" s="170"/>
      <c r="HIK67" s="170"/>
      <c r="HIL67" s="170"/>
      <c r="HIM67" s="170"/>
      <c r="HIN67" s="170"/>
      <c r="HIO67" s="170"/>
      <c r="HIP67" s="170"/>
      <c r="HIQ67" s="170"/>
      <c r="HIR67" s="170"/>
      <c r="HIS67" s="170"/>
      <c r="HIT67" s="170"/>
      <c r="HIU67" s="170"/>
      <c r="HIV67" s="170"/>
      <c r="HIW67" s="170"/>
      <c r="HIX67" s="170"/>
      <c r="HIY67" s="170"/>
      <c r="HIZ67" s="170"/>
      <c r="HJA67" s="170"/>
      <c r="HJB67" s="170"/>
      <c r="HJC67" s="170"/>
      <c r="HJD67" s="170"/>
      <c r="HJE67" s="170"/>
      <c r="HJF67" s="170"/>
      <c r="HJG67" s="170"/>
      <c r="HJH67" s="170"/>
      <c r="HJI67" s="170"/>
      <c r="HJJ67" s="170"/>
      <c r="HJK67" s="170"/>
      <c r="HJL67" s="170"/>
      <c r="HJM67" s="170"/>
      <c r="HJN67" s="170"/>
      <c r="HJO67" s="170"/>
      <c r="HJP67" s="170"/>
      <c r="HJQ67" s="170"/>
      <c r="HJR67" s="170"/>
      <c r="HJS67" s="170"/>
      <c r="HJT67" s="170"/>
      <c r="HJU67" s="170"/>
      <c r="HJV67" s="170"/>
      <c r="HJW67" s="170"/>
      <c r="HJX67" s="170"/>
      <c r="HJY67" s="170"/>
      <c r="HJZ67" s="170"/>
      <c r="HKA67" s="170"/>
      <c r="HKB67" s="170"/>
      <c r="HKC67" s="170"/>
      <c r="HKD67" s="170"/>
      <c r="HKE67" s="170"/>
      <c r="HKF67" s="170"/>
      <c r="HKG67" s="170"/>
      <c r="HKH67" s="170"/>
      <c r="HKI67" s="170"/>
      <c r="HKJ67" s="170"/>
      <c r="HKK67" s="170"/>
      <c r="HKL67" s="170"/>
      <c r="HKM67" s="170"/>
      <c r="HKN67" s="170"/>
      <c r="HKO67" s="170"/>
      <c r="HKP67" s="170"/>
      <c r="HKQ67" s="170"/>
      <c r="HKR67" s="170"/>
      <c r="HKS67" s="170"/>
      <c r="HKT67" s="170"/>
      <c r="HKU67" s="170"/>
      <c r="HKV67" s="170"/>
      <c r="HKW67" s="170"/>
      <c r="HKX67" s="170"/>
      <c r="HKY67" s="170"/>
      <c r="HKZ67" s="170"/>
      <c r="HLA67" s="170"/>
      <c r="HLB67" s="170"/>
      <c r="HLC67" s="170"/>
      <c r="HLD67" s="170"/>
      <c r="HLE67" s="170"/>
      <c r="HLF67" s="170"/>
      <c r="HLG67" s="170"/>
      <c r="HLH67" s="170"/>
      <c r="HLI67" s="170"/>
      <c r="HLJ67" s="170"/>
      <c r="HLK67" s="170"/>
      <c r="HLL67" s="170"/>
      <c r="HLM67" s="170"/>
      <c r="HLN67" s="170"/>
      <c r="HLO67" s="170"/>
      <c r="HLP67" s="170"/>
      <c r="HLQ67" s="170"/>
      <c r="HLR67" s="170"/>
      <c r="HLS67" s="170"/>
      <c r="HLT67" s="170"/>
      <c r="HLU67" s="170"/>
      <c r="HLV67" s="170"/>
      <c r="HLW67" s="170"/>
      <c r="HLX67" s="170"/>
      <c r="HLY67" s="170"/>
      <c r="HLZ67" s="170"/>
      <c r="HMA67" s="170"/>
      <c r="HMB67" s="170"/>
      <c r="HMC67" s="170"/>
      <c r="HMD67" s="170"/>
      <c r="HME67" s="170"/>
      <c r="HMF67" s="170"/>
      <c r="HMG67" s="170"/>
      <c r="HMH67" s="170"/>
      <c r="HMI67" s="170"/>
      <c r="HMJ67" s="170"/>
      <c r="HMK67" s="170"/>
      <c r="HML67" s="170"/>
      <c r="HMM67" s="170"/>
      <c r="HMN67" s="170"/>
      <c r="HMO67" s="170"/>
      <c r="HMP67" s="170"/>
      <c r="HMQ67" s="170"/>
      <c r="HMR67" s="170"/>
      <c r="HMS67" s="170"/>
      <c r="HMT67" s="170"/>
      <c r="HMU67" s="170"/>
      <c r="HMV67" s="170"/>
      <c r="HMW67" s="170"/>
      <c r="HMX67" s="170"/>
      <c r="HMY67" s="170"/>
      <c r="HMZ67" s="170"/>
      <c r="HNA67" s="170"/>
      <c r="HNB67" s="170"/>
      <c r="HNC67" s="170"/>
      <c r="HND67" s="170"/>
      <c r="HNE67" s="170"/>
      <c r="HNF67" s="170"/>
      <c r="HNG67" s="170"/>
      <c r="HNH67" s="170"/>
      <c r="HNI67" s="170"/>
      <c r="HNJ67" s="170"/>
      <c r="HNK67" s="170"/>
      <c r="HNL67" s="170"/>
      <c r="HNM67" s="170"/>
      <c r="HNN67" s="170"/>
      <c r="HNO67" s="170"/>
      <c r="HNP67" s="170"/>
      <c r="HNQ67" s="170"/>
      <c r="HNR67" s="170"/>
      <c r="HNS67" s="170"/>
      <c r="HNT67" s="170"/>
      <c r="HNU67" s="170"/>
      <c r="HNV67" s="170"/>
      <c r="HNW67" s="170"/>
      <c r="HNX67" s="170"/>
      <c r="HNY67" s="170"/>
      <c r="HNZ67" s="170"/>
      <c r="HOA67" s="170"/>
      <c r="HOB67" s="170"/>
      <c r="HOC67" s="170"/>
      <c r="HOD67" s="170"/>
      <c r="HOE67" s="170"/>
      <c r="HOF67" s="170"/>
      <c r="HOG67" s="170"/>
      <c r="HOH67" s="170"/>
      <c r="HOI67" s="170"/>
      <c r="HOJ67" s="170"/>
      <c r="HOK67" s="170"/>
      <c r="HOL67" s="170"/>
      <c r="HOM67" s="170"/>
      <c r="HON67" s="170"/>
      <c r="HOO67" s="170"/>
      <c r="HOP67" s="170"/>
      <c r="HOQ67" s="170"/>
      <c r="HOR67" s="170"/>
      <c r="HOS67" s="170"/>
      <c r="HOT67" s="170"/>
      <c r="HOU67" s="170"/>
      <c r="HOV67" s="170"/>
      <c r="HOW67" s="170"/>
      <c r="HOX67" s="170"/>
      <c r="HOY67" s="170"/>
      <c r="HOZ67" s="170"/>
      <c r="HPA67" s="170"/>
      <c r="HPB67" s="170"/>
      <c r="HPC67" s="170"/>
      <c r="HPD67" s="170"/>
      <c r="HPE67" s="170"/>
      <c r="HPF67" s="170"/>
      <c r="HPG67" s="170"/>
      <c r="HPH67" s="170"/>
      <c r="HPI67" s="170"/>
      <c r="HPJ67" s="170"/>
      <c r="HPK67" s="170"/>
      <c r="HPL67" s="170"/>
      <c r="HPM67" s="170"/>
      <c r="HPN67" s="170"/>
      <c r="HPO67" s="170"/>
      <c r="HPP67" s="170"/>
      <c r="HPQ67" s="170"/>
      <c r="HPR67" s="170"/>
      <c r="HPS67" s="170"/>
      <c r="HPT67" s="170"/>
      <c r="HPU67" s="170"/>
      <c r="HPV67" s="170"/>
      <c r="HPW67" s="170"/>
      <c r="HPX67" s="170"/>
      <c r="HPY67" s="170"/>
      <c r="HPZ67" s="170"/>
      <c r="HQA67" s="170"/>
      <c r="HQB67" s="170"/>
      <c r="HQC67" s="170"/>
      <c r="HQD67" s="170"/>
      <c r="HQE67" s="170"/>
      <c r="HQF67" s="170"/>
      <c r="HQG67" s="170"/>
      <c r="HQH67" s="170"/>
      <c r="HQI67" s="170"/>
      <c r="HQJ67" s="170"/>
      <c r="HQK67" s="170"/>
      <c r="HQL67" s="170"/>
      <c r="HQM67" s="170"/>
      <c r="HQN67" s="170"/>
      <c r="HQO67" s="170"/>
      <c r="HQP67" s="170"/>
      <c r="HQQ67" s="170"/>
      <c r="HQR67" s="170"/>
      <c r="HQS67" s="170"/>
      <c r="HQT67" s="170"/>
      <c r="HQU67" s="170"/>
      <c r="HQV67" s="170"/>
      <c r="HQW67" s="170"/>
      <c r="HQX67" s="170"/>
      <c r="HQY67" s="170"/>
      <c r="HQZ67" s="170"/>
      <c r="HRA67" s="170"/>
      <c r="HRB67" s="170"/>
      <c r="HRC67" s="170"/>
      <c r="HRD67" s="170"/>
      <c r="HRE67" s="170"/>
      <c r="HRF67" s="170"/>
      <c r="HRG67" s="170"/>
      <c r="HRH67" s="170"/>
      <c r="HRI67" s="170"/>
      <c r="HRJ67" s="170"/>
      <c r="HRK67" s="170"/>
      <c r="HRL67" s="170"/>
      <c r="HRM67" s="170"/>
      <c r="HRN67" s="170"/>
      <c r="HRO67" s="170"/>
      <c r="HRP67" s="170"/>
      <c r="HRQ67" s="170"/>
      <c r="HRR67" s="170"/>
      <c r="HRS67" s="170"/>
      <c r="HRT67" s="170"/>
      <c r="HRU67" s="170"/>
      <c r="HRV67" s="170"/>
      <c r="HRW67" s="170"/>
      <c r="HRX67" s="170"/>
      <c r="HRY67" s="170"/>
      <c r="HRZ67" s="170"/>
      <c r="HSA67" s="170"/>
      <c r="HSB67" s="170"/>
      <c r="HSC67" s="170"/>
      <c r="HSD67" s="170"/>
      <c r="HSE67" s="170"/>
      <c r="HSF67" s="170"/>
      <c r="HSG67" s="170"/>
      <c r="HSH67" s="170"/>
      <c r="HSI67" s="170"/>
      <c r="HSJ67" s="170"/>
      <c r="HSK67" s="170"/>
      <c r="HSL67" s="170"/>
      <c r="HSM67" s="170"/>
      <c r="HSN67" s="170"/>
      <c r="HSO67" s="170"/>
      <c r="HSP67" s="170"/>
      <c r="HSQ67" s="170"/>
      <c r="HSR67" s="170"/>
      <c r="HSS67" s="170"/>
      <c r="HST67" s="170"/>
      <c r="HSU67" s="170"/>
      <c r="HSV67" s="170"/>
      <c r="HSW67" s="170"/>
      <c r="HSX67" s="170"/>
      <c r="HSY67" s="170"/>
      <c r="HSZ67" s="170"/>
      <c r="HTA67" s="170"/>
      <c r="HTB67" s="170"/>
      <c r="HTC67" s="170"/>
      <c r="HTD67" s="170"/>
      <c r="HTE67" s="170"/>
      <c r="HTF67" s="170"/>
      <c r="HTG67" s="170"/>
      <c r="HTH67" s="170"/>
      <c r="HTI67" s="170"/>
      <c r="HTJ67" s="170"/>
      <c r="HTK67" s="170"/>
      <c r="HTL67" s="170"/>
      <c r="HTM67" s="170"/>
      <c r="HTN67" s="170"/>
      <c r="HTO67" s="170"/>
      <c r="HTP67" s="170"/>
      <c r="HTQ67" s="170"/>
      <c r="HTR67" s="170"/>
      <c r="HTS67" s="170"/>
      <c r="HTT67" s="170"/>
      <c r="HTU67" s="170"/>
      <c r="HTV67" s="170"/>
      <c r="HTW67" s="170"/>
      <c r="HTX67" s="170"/>
      <c r="HTY67" s="170"/>
      <c r="HTZ67" s="170"/>
      <c r="HUA67" s="170"/>
      <c r="HUB67" s="170"/>
      <c r="HUC67" s="170"/>
      <c r="HUD67" s="170"/>
      <c r="HUE67" s="170"/>
      <c r="HUF67" s="170"/>
      <c r="HUG67" s="170"/>
      <c r="HUH67" s="170"/>
      <c r="HUI67" s="170"/>
      <c r="HUJ67" s="170"/>
      <c r="HUK67" s="170"/>
      <c r="HUL67" s="170"/>
      <c r="HUM67" s="170"/>
      <c r="HUN67" s="170"/>
      <c r="HUO67" s="170"/>
      <c r="HUP67" s="170"/>
      <c r="HUQ67" s="170"/>
      <c r="HUR67" s="170"/>
      <c r="HUS67" s="170"/>
      <c r="HUT67" s="170"/>
      <c r="HUU67" s="170"/>
      <c r="HUV67" s="170"/>
      <c r="HUW67" s="170"/>
      <c r="HUX67" s="170"/>
      <c r="HUY67" s="170"/>
      <c r="HUZ67" s="170"/>
      <c r="HVA67" s="170"/>
      <c r="HVB67" s="170"/>
      <c r="HVC67" s="170"/>
      <c r="HVD67" s="170"/>
      <c r="HVE67" s="170"/>
      <c r="HVF67" s="170"/>
      <c r="HVG67" s="170"/>
      <c r="HVH67" s="170"/>
      <c r="HVI67" s="170"/>
      <c r="HVJ67" s="170"/>
      <c r="HVK67" s="170"/>
      <c r="HVL67" s="170"/>
      <c r="HVM67" s="170"/>
      <c r="HVN67" s="170"/>
      <c r="HVO67" s="170"/>
      <c r="HVP67" s="170"/>
      <c r="HVQ67" s="170"/>
      <c r="HVR67" s="170"/>
      <c r="HVS67" s="170"/>
      <c r="HVT67" s="170"/>
      <c r="HVU67" s="170"/>
      <c r="HVV67" s="170"/>
      <c r="HVW67" s="170"/>
      <c r="HVX67" s="170"/>
      <c r="HVY67" s="170"/>
      <c r="HVZ67" s="170"/>
      <c r="HWA67" s="170"/>
      <c r="HWB67" s="170"/>
      <c r="HWC67" s="170"/>
      <c r="HWD67" s="170"/>
      <c r="HWE67" s="170"/>
      <c r="HWF67" s="170"/>
      <c r="HWG67" s="170"/>
      <c r="HWH67" s="170"/>
      <c r="HWI67" s="170"/>
      <c r="HWJ67" s="170"/>
      <c r="HWK67" s="170"/>
      <c r="HWL67" s="170"/>
      <c r="HWM67" s="170"/>
      <c r="HWN67" s="170"/>
      <c r="HWO67" s="170"/>
      <c r="HWP67" s="170"/>
      <c r="HWQ67" s="170"/>
      <c r="HWR67" s="170"/>
      <c r="HWS67" s="170"/>
      <c r="HWT67" s="170"/>
      <c r="HWU67" s="170"/>
      <c r="HWV67" s="170"/>
      <c r="HWW67" s="170"/>
      <c r="HWX67" s="170"/>
      <c r="HWY67" s="170"/>
      <c r="HWZ67" s="170"/>
      <c r="HXA67" s="170"/>
      <c r="HXB67" s="170"/>
      <c r="HXC67" s="170"/>
      <c r="HXD67" s="170"/>
      <c r="HXE67" s="170"/>
      <c r="HXF67" s="170"/>
      <c r="HXG67" s="170"/>
      <c r="HXH67" s="170"/>
      <c r="HXI67" s="170"/>
      <c r="HXJ67" s="170"/>
      <c r="HXK67" s="170"/>
      <c r="HXL67" s="170"/>
      <c r="HXM67" s="170"/>
      <c r="HXN67" s="170"/>
      <c r="HXO67" s="170"/>
      <c r="HXP67" s="170"/>
      <c r="HXQ67" s="170"/>
      <c r="HXR67" s="170"/>
      <c r="HXS67" s="170"/>
      <c r="HXT67" s="170"/>
      <c r="HXU67" s="170"/>
      <c r="HXV67" s="170"/>
      <c r="HXW67" s="170"/>
      <c r="HXX67" s="170"/>
      <c r="HXY67" s="170"/>
      <c r="HXZ67" s="170"/>
      <c r="HYA67" s="170"/>
      <c r="HYB67" s="170"/>
      <c r="HYC67" s="170"/>
      <c r="HYD67" s="170"/>
      <c r="HYE67" s="170"/>
      <c r="HYF67" s="170"/>
      <c r="HYG67" s="170"/>
      <c r="HYH67" s="170"/>
      <c r="HYI67" s="170"/>
      <c r="HYJ67" s="170"/>
      <c r="HYK67" s="170"/>
      <c r="HYL67" s="170"/>
      <c r="HYM67" s="170"/>
      <c r="HYN67" s="170"/>
      <c r="HYO67" s="170"/>
      <c r="HYP67" s="170"/>
      <c r="HYQ67" s="170"/>
      <c r="HYR67" s="170"/>
      <c r="HYS67" s="170"/>
      <c r="HYT67" s="170"/>
      <c r="HYU67" s="170"/>
      <c r="HYV67" s="170"/>
      <c r="HYW67" s="170"/>
      <c r="HYX67" s="170"/>
      <c r="HYY67" s="170"/>
      <c r="HYZ67" s="170"/>
      <c r="HZA67" s="170"/>
      <c r="HZB67" s="170"/>
      <c r="HZC67" s="170"/>
      <c r="HZD67" s="170"/>
      <c r="HZE67" s="170"/>
      <c r="HZF67" s="170"/>
      <c r="HZG67" s="170"/>
      <c r="HZH67" s="170"/>
      <c r="HZI67" s="170"/>
      <c r="HZJ67" s="170"/>
      <c r="HZK67" s="170"/>
      <c r="HZL67" s="170"/>
      <c r="HZM67" s="170"/>
      <c r="HZN67" s="170"/>
      <c r="HZO67" s="170"/>
      <c r="HZP67" s="170"/>
      <c r="HZQ67" s="170"/>
      <c r="HZR67" s="170"/>
      <c r="HZS67" s="170"/>
      <c r="HZT67" s="170"/>
      <c r="HZU67" s="170"/>
      <c r="HZV67" s="170"/>
      <c r="HZW67" s="170"/>
      <c r="HZX67" s="170"/>
      <c r="HZY67" s="170"/>
      <c r="HZZ67" s="170"/>
      <c r="IAA67" s="170"/>
      <c r="IAB67" s="170"/>
      <c r="IAC67" s="170"/>
      <c r="IAD67" s="170"/>
      <c r="IAE67" s="170"/>
      <c r="IAF67" s="170"/>
      <c r="IAG67" s="170"/>
      <c r="IAH67" s="170"/>
      <c r="IAI67" s="170"/>
      <c r="IAJ67" s="170"/>
      <c r="IAK67" s="170"/>
      <c r="IAL67" s="170"/>
      <c r="IAM67" s="170"/>
      <c r="IAN67" s="170"/>
      <c r="IAO67" s="170"/>
      <c r="IAP67" s="170"/>
      <c r="IAQ67" s="170"/>
      <c r="IAR67" s="170"/>
      <c r="IAS67" s="170"/>
      <c r="IAT67" s="170"/>
      <c r="IAU67" s="170"/>
      <c r="IAV67" s="170"/>
      <c r="IAW67" s="170"/>
      <c r="IAX67" s="170"/>
      <c r="IAY67" s="170"/>
      <c r="IAZ67" s="170"/>
      <c r="IBA67" s="170"/>
      <c r="IBB67" s="170"/>
      <c r="IBC67" s="170"/>
      <c r="IBD67" s="170"/>
      <c r="IBE67" s="170"/>
      <c r="IBF67" s="170"/>
      <c r="IBG67" s="170"/>
      <c r="IBH67" s="170"/>
      <c r="IBI67" s="170"/>
      <c r="IBJ67" s="170"/>
      <c r="IBK67" s="170"/>
      <c r="IBL67" s="170"/>
      <c r="IBM67" s="170"/>
      <c r="IBN67" s="170"/>
      <c r="IBO67" s="170"/>
      <c r="IBP67" s="170"/>
      <c r="IBQ67" s="170"/>
      <c r="IBR67" s="170"/>
      <c r="IBS67" s="170"/>
      <c r="IBT67" s="170"/>
      <c r="IBU67" s="170"/>
      <c r="IBV67" s="170"/>
      <c r="IBW67" s="170"/>
      <c r="IBX67" s="170"/>
      <c r="IBY67" s="170"/>
      <c r="IBZ67" s="170"/>
      <c r="ICA67" s="170"/>
      <c r="ICB67" s="170"/>
      <c r="ICC67" s="170"/>
      <c r="ICD67" s="170"/>
      <c r="ICE67" s="170"/>
      <c r="ICF67" s="170"/>
      <c r="ICG67" s="170"/>
      <c r="ICH67" s="170"/>
      <c r="ICI67" s="170"/>
      <c r="ICJ67" s="170"/>
      <c r="ICK67" s="170"/>
      <c r="ICL67" s="170"/>
      <c r="ICM67" s="170"/>
      <c r="ICN67" s="170"/>
      <c r="ICO67" s="170"/>
      <c r="ICP67" s="170"/>
      <c r="ICQ67" s="170"/>
      <c r="ICR67" s="170"/>
      <c r="ICS67" s="170"/>
      <c r="ICT67" s="170"/>
      <c r="ICU67" s="170"/>
      <c r="ICV67" s="170"/>
      <c r="ICW67" s="170"/>
      <c r="ICX67" s="170"/>
      <c r="ICY67" s="170"/>
      <c r="ICZ67" s="170"/>
      <c r="IDA67" s="170"/>
      <c r="IDB67" s="170"/>
      <c r="IDC67" s="170"/>
      <c r="IDD67" s="170"/>
      <c r="IDE67" s="170"/>
      <c r="IDF67" s="170"/>
      <c r="IDG67" s="170"/>
      <c r="IDH67" s="170"/>
      <c r="IDI67" s="170"/>
      <c r="IDJ67" s="170"/>
      <c r="IDK67" s="170"/>
      <c r="IDL67" s="170"/>
      <c r="IDM67" s="170"/>
      <c r="IDN67" s="170"/>
      <c r="IDO67" s="170"/>
      <c r="IDP67" s="170"/>
      <c r="IDQ67" s="170"/>
      <c r="IDR67" s="170"/>
      <c r="IDS67" s="170"/>
      <c r="IDT67" s="170"/>
      <c r="IDU67" s="170"/>
      <c r="IDV67" s="170"/>
      <c r="IDW67" s="170"/>
      <c r="IDX67" s="170"/>
      <c r="IDY67" s="170"/>
      <c r="IDZ67" s="170"/>
      <c r="IEA67" s="170"/>
      <c r="IEB67" s="170"/>
      <c r="IEC67" s="170"/>
      <c r="IED67" s="170"/>
      <c r="IEE67" s="170"/>
      <c r="IEF67" s="170"/>
      <c r="IEG67" s="170"/>
      <c r="IEH67" s="170"/>
      <c r="IEI67" s="170"/>
      <c r="IEJ67" s="170"/>
      <c r="IEK67" s="170"/>
      <c r="IEL67" s="170"/>
      <c r="IEM67" s="170"/>
      <c r="IEN67" s="170"/>
      <c r="IEO67" s="170"/>
      <c r="IEP67" s="170"/>
      <c r="IEQ67" s="170"/>
      <c r="IER67" s="170"/>
      <c r="IES67" s="170"/>
      <c r="IET67" s="170"/>
      <c r="IEU67" s="170"/>
      <c r="IEV67" s="170"/>
      <c r="IEW67" s="170"/>
      <c r="IEX67" s="170"/>
      <c r="IEY67" s="170"/>
      <c r="IEZ67" s="170"/>
      <c r="IFA67" s="170"/>
      <c r="IFB67" s="170"/>
      <c r="IFC67" s="170"/>
      <c r="IFD67" s="170"/>
      <c r="IFE67" s="170"/>
      <c r="IFF67" s="170"/>
      <c r="IFG67" s="170"/>
      <c r="IFH67" s="170"/>
      <c r="IFI67" s="170"/>
      <c r="IFJ67" s="170"/>
      <c r="IFK67" s="170"/>
      <c r="IFL67" s="170"/>
      <c r="IFM67" s="170"/>
      <c r="IFN67" s="170"/>
      <c r="IFO67" s="170"/>
      <c r="IFP67" s="170"/>
      <c r="IFQ67" s="170"/>
      <c r="IFR67" s="170"/>
      <c r="IFS67" s="170"/>
      <c r="IFT67" s="170"/>
      <c r="IFU67" s="170"/>
      <c r="IFV67" s="170"/>
      <c r="IFW67" s="170"/>
      <c r="IFX67" s="170"/>
      <c r="IFY67" s="170"/>
      <c r="IFZ67" s="170"/>
      <c r="IGA67" s="170"/>
      <c r="IGB67" s="170"/>
      <c r="IGC67" s="170"/>
      <c r="IGD67" s="170"/>
      <c r="IGE67" s="170"/>
      <c r="IGF67" s="170"/>
      <c r="IGG67" s="170"/>
      <c r="IGH67" s="170"/>
      <c r="IGI67" s="170"/>
      <c r="IGJ67" s="170"/>
      <c r="IGK67" s="170"/>
      <c r="IGL67" s="170"/>
      <c r="IGM67" s="170"/>
      <c r="IGN67" s="170"/>
      <c r="IGO67" s="170"/>
      <c r="IGP67" s="170"/>
      <c r="IGQ67" s="170"/>
      <c r="IGR67" s="170"/>
      <c r="IGS67" s="170"/>
      <c r="IGT67" s="170"/>
      <c r="IGU67" s="170"/>
      <c r="IGV67" s="170"/>
      <c r="IGW67" s="170"/>
      <c r="IGX67" s="170"/>
      <c r="IGY67" s="170"/>
      <c r="IGZ67" s="170"/>
      <c r="IHA67" s="170"/>
      <c r="IHB67" s="170"/>
      <c r="IHC67" s="170"/>
      <c r="IHD67" s="170"/>
      <c r="IHE67" s="170"/>
      <c r="IHF67" s="170"/>
      <c r="IHG67" s="170"/>
      <c r="IHH67" s="170"/>
      <c r="IHI67" s="170"/>
      <c r="IHJ67" s="170"/>
      <c r="IHK67" s="170"/>
      <c r="IHL67" s="170"/>
      <c r="IHM67" s="170"/>
      <c r="IHN67" s="170"/>
      <c r="IHO67" s="170"/>
      <c r="IHP67" s="170"/>
      <c r="IHQ67" s="170"/>
      <c r="IHR67" s="170"/>
      <c r="IHS67" s="170"/>
      <c r="IHT67" s="170"/>
      <c r="IHU67" s="170"/>
      <c r="IHV67" s="170"/>
      <c r="IHW67" s="170"/>
      <c r="IHX67" s="170"/>
      <c r="IHY67" s="170"/>
      <c r="IHZ67" s="170"/>
      <c r="IIA67" s="170"/>
      <c r="IIB67" s="170"/>
      <c r="IIC67" s="170"/>
      <c r="IID67" s="170"/>
      <c r="IIE67" s="170"/>
      <c r="IIF67" s="170"/>
      <c r="IIG67" s="170"/>
      <c r="IIH67" s="170"/>
      <c r="III67" s="170"/>
      <c r="IIJ67" s="170"/>
      <c r="IIK67" s="170"/>
      <c r="IIL67" s="170"/>
      <c r="IIM67" s="170"/>
      <c r="IIN67" s="170"/>
      <c r="IIO67" s="170"/>
      <c r="IIP67" s="170"/>
      <c r="IIQ67" s="170"/>
      <c r="IIR67" s="170"/>
      <c r="IIS67" s="170"/>
      <c r="IIT67" s="170"/>
      <c r="IIU67" s="170"/>
      <c r="IIV67" s="170"/>
      <c r="IIW67" s="170"/>
      <c r="IIX67" s="170"/>
      <c r="IIY67" s="170"/>
      <c r="IIZ67" s="170"/>
      <c r="IJA67" s="170"/>
      <c r="IJB67" s="170"/>
      <c r="IJC67" s="170"/>
      <c r="IJD67" s="170"/>
      <c r="IJE67" s="170"/>
      <c r="IJF67" s="170"/>
      <c r="IJG67" s="170"/>
      <c r="IJH67" s="170"/>
      <c r="IJI67" s="170"/>
      <c r="IJJ67" s="170"/>
      <c r="IJK67" s="170"/>
      <c r="IJL67" s="170"/>
      <c r="IJM67" s="170"/>
      <c r="IJN67" s="170"/>
      <c r="IJO67" s="170"/>
      <c r="IJP67" s="170"/>
      <c r="IJQ67" s="170"/>
      <c r="IJR67" s="170"/>
      <c r="IJS67" s="170"/>
      <c r="IJT67" s="170"/>
      <c r="IJU67" s="170"/>
      <c r="IJV67" s="170"/>
      <c r="IJW67" s="170"/>
      <c r="IJX67" s="170"/>
      <c r="IJY67" s="170"/>
      <c r="IJZ67" s="170"/>
      <c r="IKA67" s="170"/>
      <c r="IKB67" s="170"/>
      <c r="IKC67" s="170"/>
      <c r="IKD67" s="170"/>
      <c r="IKE67" s="170"/>
      <c r="IKF67" s="170"/>
      <c r="IKG67" s="170"/>
      <c r="IKH67" s="170"/>
      <c r="IKI67" s="170"/>
      <c r="IKJ67" s="170"/>
      <c r="IKK67" s="170"/>
      <c r="IKL67" s="170"/>
      <c r="IKM67" s="170"/>
      <c r="IKN67" s="170"/>
      <c r="IKO67" s="170"/>
      <c r="IKP67" s="170"/>
      <c r="IKQ67" s="170"/>
      <c r="IKR67" s="170"/>
      <c r="IKS67" s="170"/>
      <c r="IKT67" s="170"/>
      <c r="IKU67" s="170"/>
      <c r="IKV67" s="170"/>
      <c r="IKW67" s="170"/>
      <c r="IKX67" s="170"/>
      <c r="IKY67" s="170"/>
      <c r="IKZ67" s="170"/>
      <c r="ILA67" s="170"/>
      <c r="ILB67" s="170"/>
      <c r="ILC67" s="170"/>
      <c r="ILD67" s="170"/>
      <c r="ILE67" s="170"/>
      <c r="ILF67" s="170"/>
      <c r="ILG67" s="170"/>
      <c r="ILH67" s="170"/>
      <c r="ILI67" s="170"/>
      <c r="ILJ67" s="170"/>
      <c r="ILK67" s="170"/>
      <c r="ILL67" s="170"/>
      <c r="ILM67" s="170"/>
      <c r="ILN67" s="170"/>
      <c r="ILO67" s="170"/>
      <c r="ILP67" s="170"/>
      <c r="ILQ67" s="170"/>
      <c r="ILR67" s="170"/>
      <c r="ILS67" s="170"/>
      <c r="ILT67" s="170"/>
      <c r="ILU67" s="170"/>
      <c r="ILV67" s="170"/>
      <c r="ILW67" s="170"/>
      <c r="ILX67" s="170"/>
      <c r="ILY67" s="170"/>
      <c r="ILZ67" s="170"/>
      <c r="IMA67" s="170"/>
      <c r="IMB67" s="170"/>
      <c r="IMC67" s="170"/>
      <c r="IMD67" s="170"/>
      <c r="IME67" s="170"/>
      <c r="IMF67" s="170"/>
      <c r="IMG67" s="170"/>
      <c r="IMH67" s="170"/>
      <c r="IMI67" s="170"/>
      <c r="IMJ67" s="170"/>
      <c r="IMK67" s="170"/>
      <c r="IML67" s="170"/>
      <c r="IMM67" s="170"/>
      <c r="IMN67" s="170"/>
      <c r="IMO67" s="170"/>
      <c r="IMP67" s="170"/>
      <c r="IMQ67" s="170"/>
      <c r="IMR67" s="170"/>
      <c r="IMS67" s="170"/>
      <c r="IMT67" s="170"/>
      <c r="IMU67" s="170"/>
      <c r="IMV67" s="170"/>
      <c r="IMW67" s="170"/>
      <c r="IMX67" s="170"/>
      <c r="IMY67" s="170"/>
      <c r="IMZ67" s="170"/>
      <c r="INA67" s="170"/>
      <c r="INB67" s="170"/>
      <c r="INC67" s="170"/>
      <c r="IND67" s="170"/>
      <c r="INE67" s="170"/>
      <c r="INF67" s="170"/>
      <c r="ING67" s="170"/>
      <c r="INH67" s="170"/>
      <c r="INI67" s="170"/>
      <c r="INJ67" s="170"/>
      <c r="INK67" s="170"/>
      <c r="INL67" s="170"/>
      <c r="INM67" s="170"/>
      <c r="INN67" s="170"/>
      <c r="INO67" s="170"/>
      <c r="INP67" s="170"/>
      <c r="INQ67" s="170"/>
      <c r="INR67" s="170"/>
      <c r="INS67" s="170"/>
      <c r="INT67" s="170"/>
      <c r="INU67" s="170"/>
      <c r="INV67" s="170"/>
      <c r="INW67" s="170"/>
      <c r="INX67" s="170"/>
      <c r="INY67" s="170"/>
      <c r="INZ67" s="170"/>
      <c r="IOA67" s="170"/>
      <c r="IOB67" s="170"/>
      <c r="IOC67" s="170"/>
      <c r="IOD67" s="170"/>
      <c r="IOE67" s="170"/>
      <c r="IOF67" s="170"/>
      <c r="IOG67" s="170"/>
      <c r="IOH67" s="170"/>
      <c r="IOI67" s="170"/>
      <c r="IOJ67" s="170"/>
      <c r="IOK67" s="170"/>
      <c r="IOL67" s="170"/>
      <c r="IOM67" s="170"/>
      <c r="ION67" s="170"/>
      <c r="IOO67" s="170"/>
      <c r="IOP67" s="170"/>
      <c r="IOQ67" s="170"/>
      <c r="IOR67" s="170"/>
      <c r="IOS67" s="170"/>
      <c r="IOT67" s="170"/>
      <c r="IOU67" s="170"/>
      <c r="IOV67" s="170"/>
      <c r="IOW67" s="170"/>
      <c r="IOX67" s="170"/>
      <c r="IOY67" s="170"/>
      <c r="IOZ67" s="170"/>
      <c r="IPA67" s="170"/>
      <c r="IPB67" s="170"/>
      <c r="IPC67" s="170"/>
      <c r="IPD67" s="170"/>
      <c r="IPE67" s="170"/>
      <c r="IPF67" s="170"/>
      <c r="IPG67" s="170"/>
      <c r="IPH67" s="170"/>
      <c r="IPI67" s="170"/>
      <c r="IPJ67" s="170"/>
      <c r="IPK67" s="170"/>
      <c r="IPL67" s="170"/>
      <c r="IPM67" s="170"/>
      <c r="IPN67" s="170"/>
      <c r="IPO67" s="170"/>
      <c r="IPP67" s="170"/>
      <c r="IPQ67" s="170"/>
      <c r="IPR67" s="170"/>
      <c r="IPS67" s="170"/>
      <c r="IPT67" s="170"/>
      <c r="IPU67" s="170"/>
      <c r="IPV67" s="170"/>
      <c r="IPW67" s="170"/>
      <c r="IPX67" s="170"/>
      <c r="IPY67" s="170"/>
      <c r="IPZ67" s="170"/>
      <c r="IQA67" s="170"/>
      <c r="IQB67" s="170"/>
      <c r="IQC67" s="170"/>
      <c r="IQD67" s="170"/>
      <c r="IQE67" s="170"/>
      <c r="IQF67" s="170"/>
      <c r="IQG67" s="170"/>
      <c r="IQH67" s="170"/>
      <c r="IQI67" s="170"/>
      <c r="IQJ67" s="170"/>
      <c r="IQK67" s="170"/>
      <c r="IQL67" s="170"/>
      <c r="IQM67" s="170"/>
      <c r="IQN67" s="170"/>
      <c r="IQO67" s="170"/>
      <c r="IQP67" s="170"/>
      <c r="IQQ67" s="170"/>
      <c r="IQR67" s="170"/>
      <c r="IQS67" s="170"/>
      <c r="IQT67" s="170"/>
      <c r="IQU67" s="170"/>
      <c r="IQV67" s="170"/>
      <c r="IQW67" s="170"/>
      <c r="IQX67" s="170"/>
      <c r="IQY67" s="170"/>
      <c r="IQZ67" s="170"/>
      <c r="IRA67" s="170"/>
      <c r="IRB67" s="170"/>
      <c r="IRC67" s="170"/>
      <c r="IRD67" s="170"/>
      <c r="IRE67" s="170"/>
      <c r="IRF67" s="170"/>
      <c r="IRG67" s="170"/>
      <c r="IRH67" s="170"/>
      <c r="IRI67" s="170"/>
      <c r="IRJ67" s="170"/>
      <c r="IRK67" s="170"/>
      <c r="IRL67" s="170"/>
      <c r="IRM67" s="170"/>
      <c r="IRN67" s="170"/>
      <c r="IRO67" s="170"/>
      <c r="IRP67" s="170"/>
      <c r="IRQ67" s="170"/>
      <c r="IRR67" s="170"/>
      <c r="IRS67" s="170"/>
      <c r="IRT67" s="170"/>
      <c r="IRU67" s="170"/>
      <c r="IRV67" s="170"/>
      <c r="IRW67" s="170"/>
      <c r="IRX67" s="170"/>
      <c r="IRY67" s="170"/>
      <c r="IRZ67" s="170"/>
      <c r="ISA67" s="170"/>
      <c r="ISB67" s="170"/>
      <c r="ISC67" s="170"/>
      <c r="ISD67" s="170"/>
      <c r="ISE67" s="170"/>
      <c r="ISF67" s="170"/>
      <c r="ISG67" s="170"/>
      <c r="ISH67" s="170"/>
      <c r="ISI67" s="170"/>
      <c r="ISJ67" s="170"/>
      <c r="ISK67" s="170"/>
      <c r="ISL67" s="170"/>
      <c r="ISM67" s="170"/>
      <c r="ISN67" s="170"/>
      <c r="ISO67" s="170"/>
      <c r="ISP67" s="170"/>
      <c r="ISQ67" s="170"/>
      <c r="ISR67" s="170"/>
      <c r="ISS67" s="170"/>
      <c r="IST67" s="170"/>
      <c r="ISU67" s="170"/>
      <c r="ISV67" s="170"/>
      <c r="ISW67" s="170"/>
      <c r="ISX67" s="170"/>
      <c r="ISY67" s="170"/>
      <c r="ISZ67" s="170"/>
      <c r="ITA67" s="170"/>
      <c r="ITB67" s="170"/>
      <c r="ITC67" s="170"/>
      <c r="ITD67" s="170"/>
      <c r="ITE67" s="170"/>
      <c r="ITF67" s="170"/>
      <c r="ITG67" s="170"/>
      <c r="ITH67" s="170"/>
      <c r="ITI67" s="170"/>
      <c r="ITJ67" s="170"/>
      <c r="ITK67" s="170"/>
      <c r="ITL67" s="170"/>
      <c r="ITM67" s="170"/>
      <c r="ITN67" s="170"/>
      <c r="ITO67" s="170"/>
      <c r="ITP67" s="170"/>
      <c r="ITQ67" s="170"/>
      <c r="ITR67" s="170"/>
      <c r="ITS67" s="170"/>
      <c r="ITT67" s="170"/>
      <c r="ITU67" s="170"/>
      <c r="ITV67" s="170"/>
      <c r="ITW67" s="170"/>
      <c r="ITX67" s="170"/>
      <c r="ITY67" s="170"/>
      <c r="ITZ67" s="170"/>
      <c r="IUA67" s="170"/>
      <c r="IUB67" s="170"/>
      <c r="IUC67" s="170"/>
      <c r="IUD67" s="170"/>
      <c r="IUE67" s="170"/>
      <c r="IUF67" s="170"/>
      <c r="IUG67" s="170"/>
      <c r="IUH67" s="170"/>
      <c r="IUI67" s="170"/>
      <c r="IUJ67" s="170"/>
      <c r="IUK67" s="170"/>
      <c r="IUL67" s="170"/>
      <c r="IUM67" s="170"/>
      <c r="IUN67" s="170"/>
      <c r="IUO67" s="170"/>
      <c r="IUP67" s="170"/>
      <c r="IUQ67" s="170"/>
      <c r="IUR67" s="170"/>
      <c r="IUS67" s="170"/>
      <c r="IUT67" s="170"/>
      <c r="IUU67" s="170"/>
      <c r="IUV67" s="170"/>
      <c r="IUW67" s="170"/>
      <c r="IUX67" s="170"/>
      <c r="IUY67" s="170"/>
      <c r="IUZ67" s="170"/>
      <c r="IVA67" s="170"/>
      <c r="IVB67" s="170"/>
      <c r="IVC67" s="170"/>
      <c r="IVD67" s="170"/>
      <c r="IVE67" s="170"/>
      <c r="IVF67" s="170"/>
      <c r="IVG67" s="170"/>
      <c r="IVH67" s="170"/>
      <c r="IVI67" s="170"/>
      <c r="IVJ67" s="170"/>
      <c r="IVK67" s="170"/>
      <c r="IVL67" s="170"/>
      <c r="IVM67" s="170"/>
      <c r="IVN67" s="170"/>
      <c r="IVO67" s="170"/>
      <c r="IVP67" s="170"/>
      <c r="IVQ67" s="170"/>
      <c r="IVR67" s="170"/>
      <c r="IVS67" s="170"/>
      <c r="IVT67" s="170"/>
      <c r="IVU67" s="170"/>
      <c r="IVV67" s="170"/>
      <c r="IVW67" s="170"/>
      <c r="IVX67" s="170"/>
      <c r="IVY67" s="170"/>
      <c r="IVZ67" s="170"/>
      <c r="IWA67" s="170"/>
      <c r="IWB67" s="170"/>
      <c r="IWC67" s="170"/>
      <c r="IWD67" s="170"/>
      <c r="IWE67" s="170"/>
      <c r="IWF67" s="170"/>
      <c r="IWG67" s="170"/>
      <c r="IWH67" s="170"/>
      <c r="IWI67" s="170"/>
      <c r="IWJ67" s="170"/>
      <c r="IWK67" s="170"/>
      <c r="IWL67" s="170"/>
      <c r="IWM67" s="170"/>
      <c r="IWN67" s="170"/>
      <c r="IWO67" s="170"/>
      <c r="IWP67" s="170"/>
      <c r="IWQ67" s="170"/>
      <c r="IWR67" s="170"/>
      <c r="IWS67" s="170"/>
      <c r="IWT67" s="170"/>
      <c r="IWU67" s="170"/>
      <c r="IWV67" s="170"/>
      <c r="IWW67" s="170"/>
      <c r="IWX67" s="170"/>
      <c r="IWY67" s="170"/>
      <c r="IWZ67" s="170"/>
      <c r="IXA67" s="170"/>
      <c r="IXB67" s="170"/>
      <c r="IXC67" s="170"/>
      <c r="IXD67" s="170"/>
      <c r="IXE67" s="170"/>
      <c r="IXF67" s="170"/>
      <c r="IXG67" s="170"/>
      <c r="IXH67" s="170"/>
      <c r="IXI67" s="170"/>
      <c r="IXJ67" s="170"/>
      <c r="IXK67" s="170"/>
      <c r="IXL67" s="170"/>
      <c r="IXM67" s="170"/>
      <c r="IXN67" s="170"/>
      <c r="IXO67" s="170"/>
      <c r="IXP67" s="170"/>
      <c r="IXQ67" s="170"/>
      <c r="IXR67" s="170"/>
      <c r="IXS67" s="170"/>
      <c r="IXT67" s="170"/>
      <c r="IXU67" s="170"/>
      <c r="IXV67" s="170"/>
      <c r="IXW67" s="170"/>
      <c r="IXX67" s="170"/>
      <c r="IXY67" s="170"/>
      <c r="IXZ67" s="170"/>
      <c r="IYA67" s="170"/>
      <c r="IYB67" s="170"/>
      <c r="IYC67" s="170"/>
      <c r="IYD67" s="170"/>
      <c r="IYE67" s="170"/>
      <c r="IYF67" s="170"/>
      <c r="IYG67" s="170"/>
      <c r="IYH67" s="170"/>
      <c r="IYI67" s="170"/>
      <c r="IYJ67" s="170"/>
      <c r="IYK67" s="170"/>
      <c r="IYL67" s="170"/>
      <c r="IYM67" s="170"/>
      <c r="IYN67" s="170"/>
      <c r="IYO67" s="170"/>
      <c r="IYP67" s="170"/>
      <c r="IYQ67" s="170"/>
      <c r="IYR67" s="170"/>
      <c r="IYS67" s="170"/>
      <c r="IYT67" s="170"/>
      <c r="IYU67" s="170"/>
      <c r="IYV67" s="170"/>
      <c r="IYW67" s="170"/>
      <c r="IYX67" s="170"/>
      <c r="IYY67" s="170"/>
      <c r="IYZ67" s="170"/>
      <c r="IZA67" s="170"/>
      <c r="IZB67" s="170"/>
      <c r="IZC67" s="170"/>
      <c r="IZD67" s="170"/>
      <c r="IZE67" s="170"/>
      <c r="IZF67" s="170"/>
      <c r="IZG67" s="170"/>
      <c r="IZH67" s="170"/>
      <c r="IZI67" s="170"/>
      <c r="IZJ67" s="170"/>
      <c r="IZK67" s="170"/>
      <c r="IZL67" s="170"/>
      <c r="IZM67" s="170"/>
      <c r="IZN67" s="170"/>
      <c r="IZO67" s="170"/>
      <c r="IZP67" s="170"/>
      <c r="IZQ67" s="170"/>
      <c r="IZR67" s="170"/>
      <c r="IZS67" s="170"/>
      <c r="IZT67" s="170"/>
      <c r="IZU67" s="170"/>
      <c r="IZV67" s="170"/>
      <c r="IZW67" s="170"/>
      <c r="IZX67" s="170"/>
      <c r="IZY67" s="170"/>
      <c r="IZZ67" s="170"/>
      <c r="JAA67" s="170"/>
      <c r="JAB67" s="170"/>
      <c r="JAC67" s="170"/>
      <c r="JAD67" s="170"/>
      <c r="JAE67" s="170"/>
      <c r="JAF67" s="170"/>
      <c r="JAG67" s="170"/>
      <c r="JAH67" s="170"/>
      <c r="JAI67" s="170"/>
      <c r="JAJ67" s="170"/>
      <c r="JAK67" s="170"/>
      <c r="JAL67" s="170"/>
      <c r="JAM67" s="170"/>
      <c r="JAN67" s="170"/>
      <c r="JAO67" s="170"/>
      <c r="JAP67" s="170"/>
      <c r="JAQ67" s="170"/>
      <c r="JAR67" s="170"/>
      <c r="JAS67" s="170"/>
      <c r="JAT67" s="170"/>
      <c r="JAU67" s="170"/>
      <c r="JAV67" s="170"/>
      <c r="JAW67" s="170"/>
      <c r="JAX67" s="170"/>
      <c r="JAY67" s="170"/>
      <c r="JAZ67" s="170"/>
      <c r="JBA67" s="170"/>
      <c r="JBB67" s="170"/>
      <c r="JBC67" s="170"/>
      <c r="JBD67" s="170"/>
      <c r="JBE67" s="170"/>
      <c r="JBF67" s="170"/>
      <c r="JBG67" s="170"/>
      <c r="JBH67" s="170"/>
      <c r="JBI67" s="170"/>
      <c r="JBJ67" s="170"/>
      <c r="JBK67" s="170"/>
      <c r="JBL67" s="170"/>
      <c r="JBM67" s="170"/>
      <c r="JBN67" s="170"/>
      <c r="JBO67" s="170"/>
      <c r="JBP67" s="170"/>
      <c r="JBQ67" s="170"/>
      <c r="JBR67" s="170"/>
      <c r="JBS67" s="170"/>
      <c r="JBT67" s="170"/>
      <c r="JBU67" s="170"/>
      <c r="JBV67" s="170"/>
      <c r="JBW67" s="170"/>
      <c r="JBX67" s="170"/>
      <c r="JBY67" s="170"/>
      <c r="JBZ67" s="170"/>
      <c r="JCA67" s="170"/>
      <c r="JCB67" s="170"/>
      <c r="JCC67" s="170"/>
      <c r="JCD67" s="170"/>
      <c r="JCE67" s="170"/>
      <c r="JCF67" s="170"/>
      <c r="JCG67" s="170"/>
      <c r="JCH67" s="170"/>
      <c r="JCI67" s="170"/>
      <c r="JCJ67" s="170"/>
      <c r="JCK67" s="170"/>
      <c r="JCL67" s="170"/>
      <c r="JCM67" s="170"/>
      <c r="JCN67" s="170"/>
      <c r="JCO67" s="170"/>
      <c r="JCP67" s="170"/>
      <c r="JCQ67" s="170"/>
      <c r="JCR67" s="170"/>
      <c r="JCS67" s="170"/>
      <c r="JCT67" s="170"/>
      <c r="JCU67" s="170"/>
      <c r="JCV67" s="170"/>
      <c r="JCW67" s="170"/>
      <c r="JCX67" s="170"/>
      <c r="JCY67" s="170"/>
      <c r="JCZ67" s="170"/>
      <c r="JDA67" s="170"/>
      <c r="JDB67" s="170"/>
      <c r="JDC67" s="170"/>
      <c r="JDD67" s="170"/>
      <c r="JDE67" s="170"/>
      <c r="JDF67" s="170"/>
      <c r="JDG67" s="170"/>
      <c r="JDH67" s="170"/>
      <c r="JDI67" s="170"/>
      <c r="JDJ67" s="170"/>
      <c r="JDK67" s="170"/>
      <c r="JDL67" s="170"/>
      <c r="JDM67" s="170"/>
      <c r="JDN67" s="170"/>
      <c r="JDO67" s="170"/>
      <c r="JDP67" s="170"/>
      <c r="JDQ67" s="170"/>
      <c r="JDR67" s="170"/>
      <c r="JDS67" s="170"/>
      <c r="JDT67" s="170"/>
      <c r="JDU67" s="170"/>
      <c r="JDV67" s="170"/>
      <c r="JDW67" s="170"/>
      <c r="JDX67" s="170"/>
      <c r="JDY67" s="170"/>
      <c r="JDZ67" s="170"/>
      <c r="JEA67" s="170"/>
      <c r="JEB67" s="170"/>
      <c r="JEC67" s="170"/>
      <c r="JED67" s="170"/>
      <c r="JEE67" s="170"/>
      <c r="JEF67" s="170"/>
      <c r="JEG67" s="170"/>
      <c r="JEH67" s="170"/>
      <c r="JEI67" s="170"/>
      <c r="JEJ67" s="170"/>
      <c r="JEK67" s="170"/>
      <c r="JEL67" s="170"/>
      <c r="JEM67" s="170"/>
      <c r="JEN67" s="170"/>
      <c r="JEO67" s="170"/>
      <c r="JEP67" s="170"/>
      <c r="JEQ67" s="170"/>
      <c r="JER67" s="170"/>
      <c r="JES67" s="170"/>
      <c r="JET67" s="170"/>
      <c r="JEU67" s="170"/>
      <c r="JEV67" s="170"/>
      <c r="JEW67" s="170"/>
      <c r="JEX67" s="170"/>
      <c r="JEY67" s="170"/>
      <c r="JEZ67" s="170"/>
      <c r="JFA67" s="170"/>
      <c r="JFB67" s="170"/>
      <c r="JFC67" s="170"/>
      <c r="JFD67" s="170"/>
      <c r="JFE67" s="170"/>
      <c r="JFF67" s="170"/>
      <c r="JFG67" s="170"/>
      <c r="JFH67" s="170"/>
      <c r="JFI67" s="170"/>
      <c r="JFJ67" s="170"/>
      <c r="JFK67" s="170"/>
      <c r="JFL67" s="170"/>
      <c r="JFM67" s="170"/>
      <c r="JFN67" s="170"/>
      <c r="JFO67" s="170"/>
      <c r="JFP67" s="170"/>
      <c r="JFQ67" s="170"/>
      <c r="JFR67" s="170"/>
      <c r="JFS67" s="170"/>
      <c r="JFT67" s="170"/>
      <c r="JFU67" s="170"/>
      <c r="JFV67" s="170"/>
      <c r="JFW67" s="170"/>
      <c r="JFX67" s="170"/>
      <c r="JFY67" s="170"/>
      <c r="JFZ67" s="170"/>
      <c r="JGA67" s="170"/>
      <c r="JGB67" s="170"/>
      <c r="JGC67" s="170"/>
      <c r="JGD67" s="170"/>
      <c r="JGE67" s="170"/>
      <c r="JGF67" s="170"/>
      <c r="JGG67" s="170"/>
      <c r="JGH67" s="170"/>
      <c r="JGI67" s="170"/>
      <c r="JGJ67" s="170"/>
      <c r="JGK67" s="170"/>
      <c r="JGL67" s="170"/>
      <c r="JGM67" s="170"/>
      <c r="JGN67" s="170"/>
      <c r="JGO67" s="170"/>
      <c r="JGP67" s="170"/>
      <c r="JGQ67" s="170"/>
      <c r="JGR67" s="170"/>
      <c r="JGS67" s="170"/>
      <c r="JGT67" s="170"/>
      <c r="JGU67" s="170"/>
      <c r="JGV67" s="170"/>
      <c r="JGW67" s="170"/>
      <c r="JGX67" s="170"/>
      <c r="JGY67" s="170"/>
      <c r="JGZ67" s="170"/>
      <c r="JHA67" s="170"/>
      <c r="JHB67" s="170"/>
      <c r="JHC67" s="170"/>
      <c r="JHD67" s="170"/>
      <c r="JHE67" s="170"/>
      <c r="JHF67" s="170"/>
      <c r="JHG67" s="170"/>
      <c r="JHH67" s="170"/>
      <c r="JHI67" s="170"/>
      <c r="JHJ67" s="170"/>
      <c r="JHK67" s="170"/>
      <c r="JHL67" s="170"/>
      <c r="JHM67" s="170"/>
      <c r="JHN67" s="170"/>
      <c r="JHO67" s="170"/>
      <c r="JHP67" s="170"/>
      <c r="JHQ67" s="170"/>
      <c r="JHR67" s="170"/>
      <c r="JHS67" s="170"/>
      <c r="JHT67" s="170"/>
      <c r="JHU67" s="170"/>
      <c r="JHV67" s="170"/>
      <c r="JHW67" s="170"/>
      <c r="JHX67" s="170"/>
      <c r="JHY67" s="170"/>
      <c r="JHZ67" s="170"/>
      <c r="JIA67" s="170"/>
      <c r="JIB67" s="170"/>
      <c r="JIC67" s="170"/>
      <c r="JID67" s="170"/>
      <c r="JIE67" s="170"/>
      <c r="JIF67" s="170"/>
      <c r="JIG67" s="170"/>
      <c r="JIH67" s="170"/>
      <c r="JII67" s="170"/>
      <c r="JIJ67" s="170"/>
      <c r="JIK67" s="170"/>
      <c r="JIL67" s="170"/>
      <c r="JIM67" s="170"/>
      <c r="JIN67" s="170"/>
      <c r="JIO67" s="170"/>
      <c r="JIP67" s="170"/>
      <c r="JIQ67" s="170"/>
      <c r="JIR67" s="170"/>
      <c r="JIS67" s="170"/>
      <c r="JIT67" s="170"/>
      <c r="JIU67" s="170"/>
      <c r="JIV67" s="170"/>
      <c r="JIW67" s="170"/>
      <c r="JIX67" s="170"/>
      <c r="JIY67" s="170"/>
      <c r="JIZ67" s="170"/>
      <c r="JJA67" s="170"/>
      <c r="JJB67" s="170"/>
      <c r="JJC67" s="170"/>
      <c r="JJD67" s="170"/>
      <c r="JJE67" s="170"/>
      <c r="JJF67" s="170"/>
      <c r="JJG67" s="170"/>
      <c r="JJH67" s="170"/>
      <c r="JJI67" s="170"/>
      <c r="JJJ67" s="170"/>
      <c r="JJK67" s="170"/>
      <c r="JJL67" s="170"/>
      <c r="JJM67" s="170"/>
      <c r="JJN67" s="170"/>
      <c r="JJO67" s="170"/>
      <c r="JJP67" s="170"/>
      <c r="JJQ67" s="170"/>
      <c r="JJR67" s="170"/>
      <c r="JJS67" s="170"/>
      <c r="JJT67" s="170"/>
      <c r="JJU67" s="170"/>
      <c r="JJV67" s="170"/>
      <c r="JJW67" s="170"/>
      <c r="JJX67" s="170"/>
      <c r="JJY67" s="170"/>
      <c r="JJZ67" s="170"/>
      <c r="JKA67" s="170"/>
      <c r="JKB67" s="170"/>
      <c r="JKC67" s="170"/>
      <c r="JKD67" s="170"/>
      <c r="JKE67" s="170"/>
      <c r="JKF67" s="170"/>
      <c r="JKG67" s="170"/>
      <c r="JKH67" s="170"/>
      <c r="JKI67" s="170"/>
      <c r="JKJ67" s="170"/>
      <c r="JKK67" s="170"/>
      <c r="JKL67" s="170"/>
      <c r="JKM67" s="170"/>
      <c r="JKN67" s="170"/>
      <c r="JKO67" s="170"/>
      <c r="JKP67" s="170"/>
      <c r="JKQ67" s="170"/>
      <c r="JKR67" s="170"/>
      <c r="JKS67" s="170"/>
      <c r="JKT67" s="170"/>
      <c r="JKU67" s="170"/>
      <c r="JKV67" s="170"/>
      <c r="JKW67" s="170"/>
      <c r="JKX67" s="170"/>
      <c r="JKY67" s="170"/>
      <c r="JKZ67" s="170"/>
      <c r="JLA67" s="170"/>
      <c r="JLB67" s="170"/>
      <c r="JLC67" s="170"/>
      <c r="JLD67" s="170"/>
      <c r="JLE67" s="170"/>
      <c r="JLF67" s="170"/>
      <c r="JLG67" s="170"/>
      <c r="JLH67" s="170"/>
      <c r="JLI67" s="170"/>
      <c r="JLJ67" s="170"/>
      <c r="JLK67" s="170"/>
      <c r="JLL67" s="170"/>
      <c r="JLM67" s="170"/>
      <c r="JLN67" s="170"/>
      <c r="JLO67" s="170"/>
      <c r="JLP67" s="170"/>
      <c r="JLQ67" s="170"/>
      <c r="JLR67" s="170"/>
      <c r="JLS67" s="170"/>
      <c r="JLT67" s="170"/>
      <c r="JLU67" s="170"/>
      <c r="JLV67" s="170"/>
      <c r="JLW67" s="170"/>
      <c r="JLX67" s="170"/>
      <c r="JLY67" s="170"/>
      <c r="JLZ67" s="170"/>
      <c r="JMA67" s="170"/>
      <c r="JMB67" s="170"/>
      <c r="JMC67" s="170"/>
      <c r="JMD67" s="170"/>
      <c r="JME67" s="170"/>
      <c r="JMF67" s="170"/>
      <c r="JMG67" s="170"/>
      <c r="JMH67" s="170"/>
      <c r="JMI67" s="170"/>
      <c r="JMJ67" s="170"/>
      <c r="JMK67" s="170"/>
      <c r="JML67" s="170"/>
      <c r="JMM67" s="170"/>
      <c r="JMN67" s="170"/>
      <c r="JMO67" s="170"/>
      <c r="JMP67" s="170"/>
      <c r="JMQ67" s="170"/>
      <c r="JMR67" s="170"/>
      <c r="JMS67" s="170"/>
      <c r="JMT67" s="170"/>
      <c r="JMU67" s="170"/>
      <c r="JMV67" s="170"/>
      <c r="JMW67" s="170"/>
      <c r="JMX67" s="170"/>
      <c r="JMY67" s="170"/>
      <c r="JMZ67" s="170"/>
      <c r="JNA67" s="170"/>
      <c r="JNB67" s="170"/>
      <c r="JNC67" s="170"/>
      <c r="JND67" s="170"/>
      <c r="JNE67" s="170"/>
      <c r="JNF67" s="170"/>
      <c r="JNG67" s="170"/>
      <c r="JNH67" s="170"/>
      <c r="JNI67" s="170"/>
      <c r="JNJ67" s="170"/>
      <c r="JNK67" s="170"/>
      <c r="JNL67" s="170"/>
      <c r="JNM67" s="170"/>
      <c r="JNN67" s="170"/>
      <c r="JNO67" s="170"/>
      <c r="JNP67" s="170"/>
      <c r="JNQ67" s="170"/>
      <c r="JNR67" s="170"/>
      <c r="JNS67" s="170"/>
      <c r="JNT67" s="170"/>
      <c r="JNU67" s="170"/>
      <c r="JNV67" s="170"/>
      <c r="JNW67" s="170"/>
      <c r="JNX67" s="170"/>
      <c r="JNY67" s="170"/>
      <c r="JNZ67" s="170"/>
      <c r="JOA67" s="170"/>
      <c r="JOB67" s="170"/>
      <c r="JOC67" s="170"/>
      <c r="JOD67" s="170"/>
      <c r="JOE67" s="170"/>
      <c r="JOF67" s="170"/>
      <c r="JOG67" s="170"/>
      <c r="JOH67" s="170"/>
      <c r="JOI67" s="170"/>
      <c r="JOJ67" s="170"/>
      <c r="JOK67" s="170"/>
      <c r="JOL67" s="170"/>
      <c r="JOM67" s="170"/>
      <c r="JON67" s="170"/>
      <c r="JOO67" s="170"/>
      <c r="JOP67" s="170"/>
      <c r="JOQ67" s="170"/>
      <c r="JOR67" s="170"/>
      <c r="JOS67" s="170"/>
      <c r="JOT67" s="170"/>
      <c r="JOU67" s="170"/>
      <c r="JOV67" s="170"/>
      <c r="JOW67" s="170"/>
      <c r="JOX67" s="170"/>
      <c r="JOY67" s="170"/>
      <c r="JOZ67" s="170"/>
      <c r="JPA67" s="170"/>
      <c r="JPB67" s="170"/>
      <c r="JPC67" s="170"/>
      <c r="JPD67" s="170"/>
      <c r="JPE67" s="170"/>
      <c r="JPF67" s="170"/>
      <c r="JPG67" s="170"/>
      <c r="JPH67" s="170"/>
      <c r="JPI67" s="170"/>
      <c r="JPJ67" s="170"/>
      <c r="JPK67" s="170"/>
      <c r="JPL67" s="170"/>
      <c r="JPM67" s="170"/>
      <c r="JPN67" s="170"/>
      <c r="JPO67" s="170"/>
      <c r="JPP67" s="170"/>
      <c r="JPQ67" s="170"/>
      <c r="JPR67" s="170"/>
      <c r="JPS67" s="170"/>
      <c r="JPT67" s="170"/>
      <c r="JPU67" s="170"/>
      <c r="JPV67" s="170"/>
      <c r="JPW67" s="170"/>
      <c r="JPX67" s="170"/>
      <c r="JPY67" s="170"/>
      <c r="JPZ67" s="170"/>
      <c r="JQA67" s="170"/>
      <c r="JQB67" s="170"/>
      <c r="JQC67" s="170"/>
      <c r="JQD67" s="170"/>
      <c r="JQE67" s="170"/>
      <c r="JQF67" s="170"/>
      <c r="JQG67" s="170"/>
      <c r="JQH67" s="170"/>
      <c r="JQI67" s="170"/>
      <c r="JQJ67" s="170"/>
      <c r="JQK67" s="170"/>
      <c r="JQL67" s="170"/>
      <c r="JQM67" s="170"/>
      <c r="JQN67" s="170"/>
      <c r="JQO67" s="170"/>
      <c r="JQP67" s="170"/>
      <c r="JQQ67" s="170"/>
      <c r="JQR67" s="170"/>
      <c r="JQS67" s="170"/>
      <c r="JQT67" s="170"/>
      <c r="JQU67" s="170"/>
      <c r="JQV67" s="170"/>
      <c r="JQW67" s="170"/>
      <c r="JQX67" s="170"/>
      <c r="JQY67" s="170"/>
      <c r="JQZ67" s="170"/>
      <c r="JRA67" s="170"/>
      <c r="JRB67" s="170"/>
      <c r="JRC67" s="170"/>
      <c r="JRD67" s="170"/>
      <c r="JRE67" s="170"/>
      <c r="JRF67" s="170"/>
      <c r="JRG67" s="170"/>
      <c r="JRH67" s="170"/>
      <c r="JRI67" s="170"/>
      <c r="JRJ67" s="170"/>
      <c r="JRK67" s="170"/>
      <c r="JRL67" s="170"/>
      <c r="JRM67" s="170"/>
      <c r="JRN67" s="170"/>
      <c r="JRO67" s="170"/>
      <c r="JRP67" s="170"/>
      <c r="JRQ67" s="170"/>
      <c r="JRR67" s="170"/>
      <c r="JRS67" s="170"/>
      <c r="JRT67" s="170"/>
      <c r="JRU67" s="170"/>
      <c r="JRV67" s="170"/>
      <c r="JRW67" s="170"/>
      <c r="JRX67" s="170"/>
      <c r="JRY67" s="170"/>
      <c r="JRZ67" s="170"/>
      <c r="JSA67" s="170"/>
      <c r="JSB67" s="170"/>
      <c r="JSC67" s="170"/>
      <c r="JSD67" s="170"/>
      <c r="JSE67" s="170"/>
      <c r="JSF67" s="170"/>
      <c r="JSG67" s="170"/>
      <c r="JSH67" s="170"/>
      <c r="JSI67" s="170"/>
      <c r="JSJ67" s="170"/>
      <c r="JSK67" s="170"/>
      <c r="JSL67" s="170"/>
      <c r="JSM67" s="170"/>
      <c r="JSN67" s="170"/>
      <c r="JSO67" s="170"/>
      <c r="JSP67" s="170"/>
      <c r="JSQ67" s="170"/>
      <c r="JSR67" s="170"/>
      <c r="JSS67" s="170"/>
      <c r="JST67" s="170"/>
      <c r="JSU67" s="170"/>
      <c r="JSV67" s="170"/>
      <c r="JSW67" s="170"/>
      <c r="JSX67" s="170"/>
      <c r="JSY67" s="170"/>
      <c r="JSZ67" s="170"/>
      <c r="JTA67" s="170"/>
      <c r="JTB67" s="170"/>
      <c r="JTC67" s="170"/>
      <c r="JTD67" s="170"/>
      <c r="JTE67" s="170"/>
      <c r="JTF67" s="170"/>
      <c r="JTG67" s="170"/>
      <c r="JTH67" s="170"/>
      <c r="JTI67" s="170"/>
      <c r="JTJ67" s="170"/>
      <c r="JTK67" s="170"/>
      <c r="JTL67" s="170"/>
      <c r="JTM67" s="170"/>
      <c r="JTN67" s="170"/>
      <c r="JTO67" s="170"/>
      <c r="JTP67" s="170"/>
      <c r="JTQ67" s="170"/>
      <c r="JTR67" s="170"/>
      <c r="JTS67" s="170"/>
      <c r="JTT67" s="170"/>
      <c r="JTU67" s="170"/>
      <c r="JTV67" s="170"/>
      <c r="JTW67" s="170"/>
      <c r="JTX67" s="170"/>
      <c r="JTY67" s="170"/>
      <c r="JTZ67" s="170"/>
      <c r="JUA67" s="170"/>
      <c r="JUB67" s="170"/>
      <c r="JUC67" s="170"/>
      <c r="JUD67" s="170"/>
      <c r="JUE67" s="170"/>
      <c r="JUF67" s="170"/>
      <c r="JUG67" s="170"/>
      <c r="JUH67" s="170"/>
      <c r="JUI67" s="170"/>
      <c r="JUJ67" s="170"/>
      <c r="JUK67" s="170"/>
      <c r="JUL67" s="170"/>
      <c r="JUM67" s="170"/>
      <c r="JUN67" s="170"/>
      <c r="JUO67" s="170"/>
      <c r="JUP67" s="170"/>
      <c r="JUQ67" s="170"/>
      <c r="JUR67" s="170"/>
      <c r="JUS67" s="170"/>
      <c r="JUT67" s="170"/>
      <c r="JUU67" s="170"/>
      <c r="JUV67" s="170"/>
      <c r="JUW67" s="170"/>
      <c r="JUX67" s="170"/>
      <c r="JUY67" s="170"/>
      <c r="JUZ67" s="170"/>
      <c r="JVA67" s="170"/>
      <c r="JVB67" s="170"/>
      <c r="JVC67" s="170"/>
      <c r="JVD67" s="170"/>
      <c r="JVE67" s="170"/>
      <c r="JVF67" s="170"/>
      <c r="JVG67" s="170"/>
      <c r="JVH67" s="170"/>
      <c r="JVI67" s="170"/>
      <c r="JVJ67" s="170"/>
      <c r="JVK67" s="170"/>
      <c r="JVL67" s="170"/>
      <c r="JVM67" s="170"/>
      <c r="JVN67" s="170"/>
      <c r="JVO67" s="170"/>
      <c r="JVP67" s="170"/>
      <c r="JVQ67" s="170"/>
      <c r="JVR67" s="170"/>
      <c r="JVS67" s="170"/>
      <c r="JVT67" s="170"/>
      <c r="JVU67" s="170"/>
      <c r="JVV67" s="170"/>
      <c r="JVW67" s="170"/>
      <c r="JVX67" s="170"/>
      <c r="JVY67" s="170"/>
      <c r="JVZ67" s="170"/>
      <c r="JWA67" s="170"/>
      <c r="JWB67" s="170"/>
      <c r="JWC67" s="170"/>
      <c r="JWD67" s="170"/>
      <c r="JWE67" s="170"/>
      <c r="JWF67" s="170"/>
      <c r="JWG67" s="170"/>
      <c r="JWH67" s="170"/>
      <c r="JWI67" s="170"/>
      <c r="JWJ67" s="170"/>
      <c r="JWK67" s="170"/>
      <c r="JWL67" s="170"/>
      <c r="JWM67" s="170"/>
      <c r="JWN67" s="170"/>
      <c r="JWO67" s="170"/>
      <c r="JWP67" s="170"/>
      <c r="JWQ67" s="170"/>
      <c r="JWR67" s="170"/>
      <c r="JWS67" s="170"/>
      <c r="JWT67" s="170"/>
      <c r="JWU67" s="170"/>
      <c r="JWV67" s="170"/>
      <c r="JWW67" s="170"/>
      <c r="JWX67" s="170"/>
      <c r="JWY67" s="170"/>
      <c r="JWZ67" s="170"/>
      <c r="JXA67" s="170"/>
      <c r="JXB67" s="170"/>
      <c r="JXC67" s="170"/>
      <c r="JXD67" s="170"/>
      <c r="JXE67" s="170"/>
      <c r="JXF67" s="170"/>
      <c r="JXG67" s="170"/>
      <c r="JXH67" s="170"/>
      <c r="JXI67" s="170"/>
      <c r="JXJ67" s="170"/>
      <c r="JXK67" s="170"/>
      <c r="JXL67" s="170"/>
      <c r="JXM67" s="170"/>
      <c r="JXN67" s="170"/>
      <c r="JXO67" s="170"/>
      <c r="JXP67" s="170"/>
      <c r="JXQ67" s="170"/>
      <c r="JXR67" s="170"/>
      <c r="JXS67" s="170"/>
      <c r="JXT67" s="170"/>
      <c r="JXU67" s="170"/>
      <c r="JXV67" s="170"/>
      <c r="JXW67" s="170"/>
      <c r="JXX67" s="170"/>
      <c r="JXY67" s="170"/>
      <c r="JXZ67" s="170"/>
      <c r="JYA67" s="170"/>
      <c r="JYB67" s="170"/>
      <c r="JYC67" s="170"/>
      <c r="JYD67" s="170"/>
      <c r="JYE67" s="170"/>
      <c r="JYF67" s="170"/>
      <c r="JYG67" s="170"/>
      <c r="JYH67" s="170"/>
      <c r="JYI67" s="170"/>
      <c r="JYJ67" s="170"/>
      <c r="JYK67" s="170"/>
      <c r="JYL67" s="170"/>
      <c r="JYM67" s="170"/>
      <c r="JYN67" s="170"/>
      <c r="JYO67" s="170"/>
      <c r="JYP67" s="170"/>
      <c r="JYQ67" s="170"/>
      <c r="JYR67" s="170"/>
      <c r="JYS67" s="170"/>
      <c r="JYT67" s="170"/>
      <c r="JYU67" s="170"/>
      <c r="JYV67" s="170"/>
      <c r="JYW67" s="170"/>
      <c r="JYX67" s="170"/>
      <c r="JYY67" s="170"/>
      <c r="JYZ67" s="170"/>
      <c r="JZA67" s="170"/>
      <c r="JZB67" s="170"/>
      <c r="JZC67" s="170"/>
      <c r="JZD67" s="170"/>
      <c r="JZE67" s="170"/>
      <c r="JZF67" s="170"/>
      <c r="JZG67" s="170"/>
      <c r="JZH67" s="170"/>
      <c r="JZI67" s="170"/>
      <c r="JZJ67" s="170"/>
      <c r="JZK67" s="170"/>
      <c r="JZL67" s="170"/>
      <c r="JZM67" s="170"/>
      <c r="JZN67" s="170"/>
      <c r="JZO67" s="170"/>
      <c r="JZP67" s="170"/>
      <c r="JZQ67" s="170"/>
      <c r="JZR67" s="170"/>
      <c r="JZS67" s="170"/>
      <c r="JZT67" s="170"/>
      <c r="JZU67" s="170"/>
      <c r="JZV67" s="170"/>
      <c r="JZW67" s="170"/>
      <c r="JZX67" s="170"/>
      <c r="JZY67" s="170"/>
      <c r="JZZ67" s="170"/>
      <c r="KAA67" s="170"/>
      <c r="KAB67" s="170"/>
      <c r="KAC67" s="170"/>
      <c r="KAD67" s="170"/>
      <c r="KAE67" s="170"/>
      <c r="KAF67" s="170"/>
      <c r="KAG67" s="170"/>
      <c r="KAH67" s="170"/>
      <c r="KAI67" s="170"/>
      <c r="KAJ67" s="170"/>
      <c r="KAK67" s="170"/>
      <c r="KAL67" s="170"/>
      <c r="KAM67" s="170"/>
      <c r="KAN67" s="170"/>
      <c r="KAO67" s="170"/>
      <c r="KAP67" s="170"/>
      <c r="KAQ67" s="170"/>
      <c r="KAR67" s="170"/>
      <c r="KAS67" s="170"/>
      <c r="KAT67" s="170"/>
      <c r="KAU67" s="170"/>
      <c r="KAV67" s="170"/>
      <c r="KAW67" s="170"/>
      <c r="KAX67" s="170"/>
      <c r="KAY67" s="170"/>
      <c r="KAZ67" s="170"/>
      <c r="KBA67" s="170"/>
      <c r="KBB67" s="170"/>
      <c r="KBC67" s="170"/>
      <c r="KBD67" s="170"/>
      <c r="KBE67" s="170"/>
      <c r="KBF67" s="170"/>
      <c r="KBG67" s="170"/>
      <c r="KBH67" s="170"/>
      <c r="KBI67" s="170"/>
      <c r="KBJ67" s="170"/>
      <c r="KBK67" s="170"/>
      <c r="KBL67" s="170"/>
      <c r="KBM67" s="170"/>
      <c r="KBN67" s="170"/>
      <c r="KBO67" s="170"/>
      <c r="KBP67" s="170"/>
      <c r="KBQ67" s="170"/>
      <c r="KBR67" s="170"/>
      <c r="KBS67" s="170"/>
      <c r="KBT67" s="170"/>
      <c r="KBU67" s="170"/>
      <c r="KBV67" s="170"/>
      <c r="KBW67" s="170"/>
      <c r="KBX67" s="170"/>
      <c r="KBY67" s="170"/>
      <c r="KBZ67" s="170"/>
      <c r="KCA67" s="170"/>
      <c r="KCB67" s="170"/>
      <c r="KCC67" s="170"/>
      <c r="KCD67" s="170"/>
      <c r="KCE67" s="170"/>
      <c r="KCF67" s="170"/>
      <c r="KCG67" s="170"/>
      <c r="KCH67" s="170"/>
      <c r="KCI67" s="170"/>
      <c r="KCJ67" s="170"/>
      <c r="KCK67" s="170"/>
      <c r="KCL67" s="170"/>
      <c r="KCM67" s="170"/>
      <c r="KCN67" s="170"/>
      <c r="KCO67" s="170"/>
      <c r="KCP67" s="170"/>
      <c r="KCQ67" s="170"/>
      <c r="KCR67" s="170"/>
      <c r="KCS67" s="170"/>
      <c r="KCT67" s="170"/>
      <c r="KCU67" s="170"/>
      <c r="KCV67" s="170"/>
      <c r="KCW67" s="170"/>
      <c r="KCX67" s="170"/>
      <c r="KCY67" s="170"/>
      <c r="KCZ67" s="170"/>
      <c r="KDA67" s="170"/>
      <c r="KDB67" s="170"/>
      <c r="KDC67" s="170"/>
      <c r="KDD67" s="170"/>
      <c r="KDE67" s="170"/>
      <c r="KDF67" s="170"/>
      <c r="KDG67" s="170"/>
      <c r="KDH67" s="170"/>
      <c r="KDI67" s="170"/>
      <c r="KDJ67" s="170"/>
      <c r="KDK67" s="170"/>
      <c r="KDL67" s="170"/>
      <c r="KDM67" s="170"/>
      <c r="KDN67" s="170"/>
      <c r="KDO67" s="170"/>
      <c r="KDP67" s="170"/>
      <c r="KDQ67" s="170"/>
      <c r="KDR67" s="170"/>
      <c r="KDS67" s="170"/>
      <c r="KDT67" s="170"/>
      <c r="KDU67" s="170"/>
      <c r="KDV67" s="170"/>
      <c r="KDW67" s="170"/>
      <c r="KDX67" s="170"/>
      <c r="KDY67" s="170"/>
      <c r="KDZ67" s="170"/>
      <c r="KEA67" s="170"/>
      <c r="KEB67" s="170"/>
      <c r="KEC67" s="170"/>
      <c r="KED67" s="170"/>
      <c r="KEE67" s="170"/>
      <c r="KEF67" s="170"/>
      <c r="KEG67" s="170"/>
      <c r="KEH67" s="170"/>
      <c r="KEI67" s="170"/>
      <c r="KEJ67" s="170"/>
      <c r="KEK67" s="170"/>
      <c r="KEL67" s="170"/>
      <c r="KEM67" s="170"/>
      <c r="KEN67" s="170"/>
      <c r="KEO67" s="170"/>
      <c r="KEP67" s="170"/>
      <c r="KEQ67" s="170"/>
      <c r="KER67" s="170"/>
      <c r="KES67" s="170"/>
      <c r="KET67" s="170"/>
      <c r="KEU67" s="170"/>
      <c r="KEV67" s="170"/>
      <c r="KEW67" s="170"/>
      <c r="KEX67" s="170"/>
      <c r="KEY67" s="170"/>
      <c r="KEZ67" s="170"/>
      <c r="KFA67" s="170"/>
      <c r="KFB67" s="170"/>
      <c r="KFC67" s="170"/>
      <c r="KFD67" s="170"/>
      <c r="KFE67" s="170"/>
      <c r="KFF67" s="170"/>
      <c r="KFG67" s="170"/>
      <c r="KFH67" s="170"/>
      <c r="KFI67" s="170"/>
      <c r="KFJ67" s="170"/>
      <c r="KFK67" s="170"/>
      <c r="KFL67" s="170"/>
      <c r="KFM67" s="170"/>
      <c r="KFN67" s="170"/>
      <c r="KFO67" s="170"/>
      <c r="KFP67" s="170"/>
      <c r="KFQ67" s="170"/>
      <c r="KFR67" s="170"/>
      <c r="KFS67" s="170"/>
      <c r="KFT67" s="170"/>
      <c r="KFU67" s="170"/>
      <c r="KFV67" s="170"/>
      <c r="KFW67" s="170"/>
      <c r="KFX67" s="170"/>
      <c r="KFY67" s="170"/>
      <c r="KFZ67" s="170"/>
      <c r="KGA67" s="170"/>
      <c r="KGB67" s="170"/>
      <c r="KGC67" s="170"/>
      <c r="KGD67" s="170"/>
      <c r="KGE67" s="170"/>
      <c r="KGF67" s="170"/>
      <c r="KGG67" s="170"/>
      <c r="KGH67" s="170"/>
      <c r="KGI67" s="170"/>
      <c r="KGJ67" s="170"/>
      <c r="KGK67" s="170"/>
      <c r="KGL67" s="170"/>
      <c r="KGM67" s="170"/>
      <c r="KGN67" s="170"/>
      <c r="KGO67" s="170"/>
      <c r="KGP67" s="170"/>
      <c r="KGQ67" s="170"/>
      <c r="KGR67" s="170"/>
      <c r="KGS67" s="170"/>
      <c r="KGT67" s="170"/>
      <c r="KGU67" s="170"/>
      <c r="KGV67" s="170"/>
      <c r="KGW67" s="170"/>
      <c r="KGX67" s="170"/>
      <c r="KGY67" s="170"/>
      <c r="KGZ67" s="170"/>
      <c r="KHA67" s="170"/>
      <c r="KHB67" s="170"/>
      <c r="KHC67" s="170"/>
      <c r="KHD67" s="170"/>
      <c r="KHE67" s="170"/>
      <c r="KHF67" s="170"/>
      <c r="KHG67" s="170"/>
      <c r="KHH67" s="170"/>
      <c r="KHI67" s="170"/>
      <c r="KHJ67" s="170"/>
      <c r="KHK67" s="170"/>
      <c r="KHL67" s="170"/>
      <c r="KHM67" s="170"/>
      <c r="KHN67" s="170"/>
      <c r="KHO67" s="170"/>
      <c r="KHP67" s="170"/>
      <c r="KHQ67" s="170"/>
      <c r="KHR67" s="170"/>
      <c r="KHS67" s="170"/>
      <c r="KHT67" s="170"/>
      <c r="KHU67" s="170"/>
      <c r="KHV67" s="170"/>
      <c r="KHW67" s="170"/>
      <c r="KHX67" s="170"/>
      <c r="KHY67" s="170"/>
      <c r="KHZ67" s="170"/>
      <c r="KIA67" s="170"/>
      <c r="KIB67" s="170"/>
      <c r="KIC67" s="170"/>
      <c r="KID67" s="170"/>
      <c r="KIE67" s="170"/>
      <c r="KIF67" s="170"/>
      <c r="KIG67" s="170"/>
      <c r="KIH67" s="170"/>
      <c r="KII67" s="170"/>
      <c r="KIJ67" s="170"/>
      <c r="KIK67" s="170"/>
      <c r="KIL67" s="170"/>
      <c r="KIM67" s="170"/>
      <c r="KIN67" s="170"/>
      <c r="KIO67" s="170"/>
      <c r="KIP67" s="170"/>
      <c r="KIQ67" s="170"/>
      <c r="KIR67" s="170"/>
      <c r="KIS67" s="170"/>
      <c r="KIT67" s="170"/>
      <c r="KIU67" s="170"/>
      <c r="KIV67" s="170"/>
      <c r="KIW67" s="170"/>
      <c r="KIX67" s="170"/>
      <c r="KIY67" s="170"/>
      <c r="KIZ67" s="170"/>
      <c r="KJA67" s="170"/>
      <c r="KJB67" s="170"/>
      <c r="KJC67" s="170"/>
      <c r="KJD67" s="170"/>
      <c r="KJE67" s="170"/>
      <c r="KJF67" s="170"/>
      <c r="KJG67" s="170"/>
      <c r="KJH67" s="170"/>
      <c r="KJI67" s="170"/>
      <c r="KJJ67" s="170"/>
      <c r="KJK67" s="170"/>
      <c r="KJL67" s="170"/>
      <c r="KJM67" s="170"/>
      <c r="KJN67" s="170"/>
      <c r="KJO67" s="170"/>
      <c r="KJP67" s="170"/>
      <c r="KJQ67" s="170"/>
      <c r="KJR67" s="170"/>
      <c r="KJS67" s="170"/>
      <c r="KJT67" s="170"/>
      <c r="KJU67" s="170"/>
      <c r="KJV67" s="170"/>
      <c r="KJW67" s="170"/>
      <c r="KJX67" s="170"/>
      <c r="KJY67" s="170"/>
      <c r="KJZ67" s="170"/>
      <c r="KKA67" s="170"/>
      <c r="KKB67" s="170"/>
      <c r="KKC67" s="170"/>
      <c r="KKD67" s="170"/>
      <c r="KKE67" s="170"/>
      <c r="KKF67" s="170"/>
      <c r="KKG67" s="170"/>
      <c r="KKH67" s="170"/>
      <c r="KKI67" s="170"/>
      <c r="KKJ67" s="170"/>
      <c r="KKK67" s="170"/>
      <c r="KKL67" s="170"/>
      <c r="KKM67" s="170"/>
      <c r="KKN67" s="170"/>
      <c r="KKO67" s="170"/>
      <c r="KKP67" s="170"/>
      <c r="KKQ67" s="170"/>
      <c r="KKR67" s="170"/>
      <c r="KKS67" s="170"/>
      <c r="KKT67" s="170"/>
      <c r="KKU67" s="170"/>
      <c r="KKV67" s="170"/>
      <c r="KKW67" s="170"/>
      <c r="KKX67" s="170"/>
      <c r="KKY67" s="170"/>
      <c r="KKZ67" s="170"/>
      <c r="KLA67" s="170"/>
      <c r="KLB67" s="170"/>
      <c r="KLC67" s="170"/>
      <c r="KLD67" s="170"/>
      <c r="KLE67" s="170"/>
      <c r="KLF67" s="170"/>
      <c r="KLG67" s="170"/>
      <c r="KLH67" s="170"/>
      <c r="KLI67" s="170"/>
      <c r="KLJ67" s="170"/>
      <c r="KLK67" s="170"/>
      <c r="KLL67" s="170"/>
      <c r="KLM67" s="170"/>
      <c r="KLN67" s="170"/>
      <c r="KLO67" s="170"/>
      <c r="KLP67" s="170"/>
      <c r="KLQ67" s="170"/>
      <c r="KLR67" s="170"/>
      <c r="KLS67" s="170"/>
      <c r="KLT67" s="170"/>
      <c r="KLU67" s="170"/>
      <c r="KLV67" s="170"/>
      <c r="KLW67" s="170"/>
      <c r="KLX67" s="170"/>
      <c r="KLY67" s="170"/>
      <c r="KLZ67" s="170"/>
      <c r="KMA67" s="170"/>
      <c r="KMB67" s="170"/>
      <c r="KMC67" s="170"/>
      <c r="KMD67" s="170"/>
      <c r="KME67" s="170"/>
      <c r="KMF67" s="170"/>
      <c r="KMG67" s="170"/>
      <c r="KMH67" s="170"/>
      <c r="KMI67" s="170"/>
      <c r="KMJ67" s="170"/>
      <c r="KMK67" s="170"/>
      <c r="KML67" s="170"/>
      <c r="KMM67" s="170"/>
      <c r="KMN67" s="170"/>
      <c r="KMO67" s="170"/>
      <c r="KMP67" s="170"/>
      <c r="KMQ67" s="170"/>
      <c r="KMR67" s="170"/>
      <c r="KMS67" s="170"/>
      <c r="KMT67" s="170"/>
      <c r="KMU67" s="170"/>
      <c r="KMV67" s="170"/>
      <c r="KMW67" s="170"/>
      <c r="KMX67" s="170"/>
      <c r="KMY67" s="170"/>
      <c r="KMZ67" s="170"/>
      <c r="KNA67" s="170"/>
      <c r="KNB67" s="170"/>
      <c r="KNC67" s="170"/>
      <c r="KND67" s="170"/>
      <c r="KNE67" s="170"/>
      <c r="KNF67" s="170"/>
      <c r="KNG67" s="170"/>
      <c r="KNH67" s="170"/>
      <c r="KNI67" s="170"/>
      <c r="KNJ67" s="170"/>
      <c r="KNK67" s="170"/>
      <c r="KNL67" s="170"/>
      <c r="KNM67" s="170"/>
      <c r="KNN67" s="170"/>
      <c r="KNO67" s="170"/>
      <c r="KNP67" s="170"/>
      <c r="KNQ67" s="170"/>
      <c r="KNR67" s="170"/>
      <c r="KNS67" s="170"/>
      <c r="KNT67" s="170"/>
      <c r="KNU67" s="170"/>
      <c r="KNV67" s="170"/>
      <c r="KNW67" s="170"/>
      <c r="KNX67" s="170"/>
      <c r="KNY67" s="170"/>
      <c r="KNZ67" s="170"/>
      <c r="KOA67" s="170"/>
      <c r="KOB67" s="170"/>
      <c r="KOC67" s="170"/>
      <c r="KOD67" s="170"/>
      <c r="KOE67" s="170"/>
      <c r="KOF67" s="170"/>
      <c r="KOG67" s="170"/>
      <c r="KOH67" s="170"/>
      <c r="KOI67" s="170"/>
      <c r="KOJ67" s="170"/>
      <c r="KOK67" s="170"/>
      <c r="KOL67" s="170"/>
      <c r="KOM67" s="170"/>
      <c r="KON67" s="170"/>
      <c r="KOO67" s="170"/>
      <c r="KOP67" s="170"/>
      <c r="KOQ67" s="170"/>
      <c r="KOR67" s="170"/>
      <c r="KOS67" s="170"/>
      <c r="KOT67" s="170"/>
      <c r="KOU67" s="170"/>
      <c r="KOV67" s="170"/>
      <c r="KOW67" s="170"/>
      <c r="KOX67" s="170"/>
      <c r="KOY67" s="170"/>
      <c r="KOZ67" s="170"/>
      <c r="KPA67" s="170"/>
      <c r="KPB67" s="170"/>
      <c r="KPC67" s="170"/>
      <c r="KPD67" s="170"/>
      <c r="KPE67" s="170"/>
      <c r="KPF67" s="170"/>
      <c r="KPG67" s="170"/>
      <c r="KPH67" s="170"/>
      <c r="KPI67" s="170"/>
      <c r="KPJ67" s="170"/>
      <c r="KPK67" s="170"/>
      <c r="KPL67" s="170"/>
      <c r="KPM67" s="170"/>
      <c r="KPN67" s="170"/>
      <c r="KPO67" s="170"/>
      <c r="KPP67" s="170"/>
      <c r="KPQ67" s="170"/>
      <c r="KPR67" s="170"/>
      <c r="KPS67" s="170"/>
      <c r="KPT67" s="170"/>
      <c r="KPU67" s="170"/>
      <c r="KPV67" s="170"/>
      <c r="KPW67" s="170"/>
      <c r="KPX67" s="170"/>
      <c r="KPY67" s="170"/>
      <c r="KPZ67" s="170"/>
      <c r="KQA67" s="170"/>
      <c r="KQB67" s="170"/>
      <c r="KQC67" s="170"/>
      <c r="KQD67" s="170"/>
      <c r="KQE67" s="170"/>
      <c r="KQF67" s="170"/>
      <c r="KQG67" s="170"/>
      <c r="KQH67" s="170"/>
      <c r="KQI67" s="170"/>
      <c r="KQJ67" s="170"/>
      <c r="KQK67" s="170"/>
      <c r="KQL67" s="170"/>
      <c r="KQM67" s="170"/>
      <c r="KQN67" s="170"/>
      <c r="KQO67" s="170"/>
      <c r="KQP67" s="170"/>
      <c r="KQQ67" s="170"/>
      <c r="KQR67" s="170"/>
      <c r="KQS67" s="170"/>
      <c r="KQT67" s="170"/>
      <c r="KQU67" s="170"/>
      <c r="KQV67" s="170"/>
      <c r="KQW67" s="170"/>
      <c r="KQX67" s="170"/>
      <c r="KQY67" s="170"/>
      <c r="KQZ67" s="170"/>
      <c r="KRA67" s="170"/>
      <c r="KRB67" s="170"/>
      <c r="KRC67" s="170"/>
      <c r="KRD67" s="170"/>
      <c r="KRE67" s="170"/>
      <c r="KRF67" s="170"/>
      <c r="KRG67" s="170"/>
      <c r="KRH67" s="170"/>
      <c r="KRI67" s="170"/>
      <c r="KRJ67" s="170"/>
      <c r="KRK67" s="170"/>
      <c r="KRL67" s="170"/>
      <c r="KRM67" s="170"/>
      <c r="KRN67" s="170"/>
      <c r="KRO67" s="170"/>
      <c r="KRP67" s="170"/>
      <c r="KRQ67" s="170"/>
      <c r="KRR67" s="170"/>
      <c r="KRS67" s="170"/>
      <c r="KRT67" s="170"/>
      <c r="KRU67" s="170"/>
      <c r="KRV67" s="170"/>
      <c r="KRW67" s="170"/>
      <c r="KRX67" s="170"/>
      <c r="KRY67" s="170"/>
      <c r="KRZ67" s="170"/>
      <c r="KSA67" s="170"/>
      <c r="KSB67" s="170"/>
      <c r="KSC67" s="170"/>
      <c r="KSD67" s="170"/>
      <c r="KSE67" s="170"/>
      <c r="KSF67" s="170"/>
      <c r="KSG67" s="170"/>
      <c r="KSH67" s="170"/>
      <c r="KSI67" s="170"/>
      <c r="KSJ67" s="170"/>
      <c r="KSK67" s="170"/>
      <c r="KSL67" s="170"/>
      <c r="KSM67" s="170"/>
      <c r="KSN67" s="170"/>
      <c r="KSO67" s="170"/>
      <c r="KSP67" s="170"/>
      <c r="KSQ67" s="170"/>
      <c r="KSR67" s="170"/>
      <c r="KSS67" s="170"/>
      <c r="KST67" s="170"/>
      <c r="KSU67" s="170"/>
      <c r="KSV67" s="170"/>
      <c r="KSW67" s="170"/>
      <c r="KSX67" s="170"/>
      <c r="KSY67" s="170"/>
      <c r="KSZ67" s="170"/>
      <c r="KTA67" s="170"/>
      <c r="KTB67" s="170"/>
      <c r="KTC67" s="170"/>
      <c r="KTD67" s="170"/>
      <c r="KTE67" s="170"/>
      <c r="KTF67" s="170"/>
      <c r="KTG67" s="170"/>
      <c r="KTH67" s="170"/>
      <c r="KTI67" s="170"/>
      <c r="KTJ67" s="170"/>
      <c r="KTK67" s="170"/>
      <c r="KTL67" s="170"/>
      <c r="KTM67" s="170"/>
      <c r="KTN67" s="170"/>
      <c r="KTO67" s="170"/>
      <c r="KTP67" s="170"/>
      <c r="KTQ67" s="170"/>
      <c r="KTR67" s="170"/>
      <c r="KTS67" s="170"/>
      <c r="KTT67" s="170"/>
      <c r="KTU67" s="170"/>
      <c r="KTV67" s="170"/>
      <c r="KTW67" s="170"/>
      <c r="KTX67" s="170"/>
      <c r="KTY67" s="170"/>
      <c r="KTZ67" s="170"/>
      <c r="KUA67" s="170"/>
      <c r="KUB67" s="170"/>
      <c r="KUC67" s="170"/>
      <c r="KUD67" s="170"/>
      <c r="KUE67" s="170"/>
      <c r="KUF67" s="170"/>
      <c r="KUG67" s="170"/>
      <c r="KUH67" s="170"/>
      <c r="KUI67" s="170"/>
      <c r="KUJ67" s="170"/>
      <c r="KUK67" s="170"/>
      <c r="KUL67" s="170"/>
      <c r="KUM67" s="170"/>
      <c r="KUN67" s="170"/>
      <c r="KUO67" s="170"/>
      <c r="KUP67" s="170"/>
      <c r="KUQ67" s="170"/>
      <c r="KUR67" s="170"/>
      <c r="KUS67" s="170"/>
      <c r="KUT67" s="170"/>
      <c r="KUU67" s="170"/>
      <c r="KUV67" s="170"/>
      <c r="KUW67" s="170"/>
      <c r="KUX67" s="170"/>
      <c r="KUY67" s="170"/>
      <c r="KUZ67" s="170"/>
      <c r="KVA67" s="170"/>
      <c r="KVB67" s="170"/>
      <c r="KVC67" s="170"/>
      <c r="KVD67" s="170"/>
      <c r="KVE67" s="170"/>
      <c r="KVF67" s="170"/>
      <c r="KVG67" s="170"/>
      <c r="KVH67" s="170"/>
      <c r="KVI67" s="170"/>
      <c r="KVJ67" s="170"/>
      <c r="KVK67" s="170"/>
      <c r="KVL67" s="170"/>
      <c r="KVM67" s="170"/>
      <c r="KVN67" s="170"/>
      <c r="KVO67" s="170"/>
      <c r="KVP67" s="170"/>
      <c r="KVQ67" s="170"/>
      <c r="KVR67" s="170"/>
      <c r="KVS67" s="170"/>
      <c r="KVT67" s="170"/>
      <c r="KVU67" s="170"/>
      <c r="KVV67" s="170"/>
      <c r="KVW67" s="170"/>
      <c r="KVX67" s="170"/>
      <c r="KVY67" s="170"/>
      <c r="KVZ67" s="170"/>
      <c r="KWA67" s="170"/>
      <c r="KWB67" s="170"/>
      <c r="KWC67" s="170"/>
      <c r="KWD67" s="170"/>
      <c r="KWE67" s="170"/>
      <c r="KWF67" s="170"/>
      <c r="KWG67" s="170"/>
      <c r="KWH67" s="170"/>
      <c r="KWI67" s="170"/>
      <c r="KWJ67" s="170"/>
      <c r="KWK67" s="170"/>
      <c r="KWL67" s="170"/>
      <c r="KWM67" s="170"/>
      <c r="KWN67" s="170"/>
      <c r="KWO67" s="170"/>
      <c r="KWP67" s="170"/>
      <c r="KWQ67" s="170"/>
      <c r="KWR67" s="170"/>
      <c r="KWS67" s="170"/>
      <c r="KWT67" s="170"/>
      <c r="KWU67" s="170"/>
      <c r="KWV67" s="170"/>
      <c r="KWW67" s="170"/>
      <c r="KWX67" s="170"/>
      <c r="KWY67" s="170"/>
      <c r="KWZ67" s="170"/>
      <c r="KXA67" s="170"/>
      <c r="KXB67" s="170"/>
      <c r="KXC67" s="170"/>
      <c r="KXD67" s="170"/>
      <c r="KXE67" s="170"/>
      <c r="KXF67" s="170"/>
      <c r="KXG67" s="170"/>
      <c r="KXH67" s="170"/>
      <c r="KXI67" s="170"/>
      <c r="KXJ67" s="170"/>
      <c r="KXK67" s="170"/>
      <c r="KXL67" s="170"/>
      <c r="KXM67" s="170"/>
      <c r="KXN67" s="170"/>
      <c r="KXO67" s="170"/>
      <c r="KXP67" s="170"/>
      <c r="KXQ67" s="170"/>
      <c r="KXR67" s="170"/>
      <c r="KXS67" s="170"/>
      <c r="KXT67" s="170"/>
      <c r="KXU67" s="170"/>
      <c r="KXV67" s="170"/>
      <c r="KXW67" s="170"/>
      <c r="KXX67" s="170"/>
      <c r="KXY67" s="170"/>
      <c r="KXZ67" s="170"/>
      <c r="KYA67" s="170"/>
      <c r="KYB67" s="170"/>
      <c r="KYC67" s="170"/>
      <c r="KYD67" s="170"/>
      <c r="KYE67" s="170"/>
      <c r="KYF67" s="170"/>
      <c r="KYG67" s="170"/>
      <c r="KYH67" s="170"/>
      <c r="KYI67" s="170"/>
      <c r="KYJ67" s="170"/>
      <c r="KYK67" s="170"/>
      <c r="KYL67" s="170"/>
      <c r="KYM67" s="170"/>
      <c r="KYN67" s="170"/>
      <c r="KYO67" s="170"/>
      <c r="KYP67" s="170"/>
      <c r="KYQ67" s="170"/>
      <c r="KYR67" s="170"/>
      <c r="KYS67" s="170"/>
      <c r="KYT67" s="170"/>
      <c r="KYU67" s="170"/>
      <c r="KYV67" s="170"/>
      <c r="KYW67" s="170"/>
      <c r="KYX67" s="170"/>
      <c r="KYY67" s="170"/>
      <c r="KYZ67" s="170"/>
      <c r="KZA67" s="170"/>
      <c r="KZB67" s="170"/>
      <c r="KZC67" s="170"/>
      <c r="KZD67" s="170"/>
      <c r="KZE67" s="170"/>
      <c r="KZF67" s="170"/>
      <c r="KZG67" s="170"/>
      <c r="KZH67" s="170"/>
      <c r="KZI67" s="170"/>
      <c r="KZJ67" s="170"/>
      <c r="KZK67" s="170"/>
      <c r="KZL67" s="170"/>
      <c r="KZM67" s="170"/>
      <c r="KZN67" s="170"/>
      <c r="KZO67" s="170"/>
      <c r="KZP67" s="170"/>
      <c r="KZQ67" s="170"/>
      <c r="KZR67" s="170"/>
      <c r="KZS67" s="170"/>
      <c r="KZT67" s="170"/>
      <c r="KZU67" s="170"/>
      <c r="KZV67" s="170"/>
      <c r="KZW67" s="170"/>
      <c r="KZX67" s="170"/>
      <c r="KZY67" s="170"/>
      <c r="KZZ67" s="170"/>
      <c r="LAA67" s="170"/>
      <c r="LAB67" s="170"/>
      <c r="LAC67" s="170"/>
      <c r="LAD67" s="170"/>
      <c r="LAE67" s="170"/>
      <c r="LAF67" s="170"/>
      <c r="LAG67" s="170"/>
      <c r="LAH67" s="170"/>
      <c r="LAI67" s="170"/>
      <c r="LAJ67" s="170"/>
      <c r="LAK67" s="170"/>
      <c r="LAL67" s="170"/>
      <c r="LAM67" s="170"/>
      <c r="LAN67" s="170"/>
      <c r="LAO67" s="170"/>
      <c r="LAP67" s="170"/>
      <c r="LAQ67" s="170"/>
      <c r="LAR67" s="170"/>
      <c r="LAS67" s="170"/>
      <c r="LAT67" s="170"/>
      <c r="LAU67" s="170"/>
      <c r="LAV67" s="170"/>
      <c r="LAW67" s="170"/>
      <c r="LAX67" s="170"/>
      <c r="LAY67" s="170"/>
      <c r="LAZ67" s="170"/>
      <c r="LBA67" s="170"/>
      <c r="LBB67" s="170"/>
      <c r="LBC67" s="170"/>
      <c r="LBD67" s="170"/>
      <c r="LBE67" s="170"/>
      <c r="LBF67" s="170"/>
      <c r="LBG67" s="170"/>
      <c r="LBH67" s="170"/>
      <c r="LBI67" s="170"/>
      <c r="LBJ67" s="170"/>
      <c r="LBK67" s="170"/>
      <c r="LBL67" s="170"/>
      <c r="LBM67" s="170"/>
      <c r="LBN67" s="170"/>
      <c r="LBO67" s="170"/>
      <c r="LBP67" s="170"/>
      <c r="LBQ67" s="170"/>
      <c r="LBR67" s="170"/>
      <c r="LBS67" s="170"/>
      <c r="LBT67" s="170"/>
      <c r="LBU67" s="170"/>
      <c r="LBV67" s="170"/>
      <c r="LBW67" s="170"/>
      <c r="LBX67" s="170"/>
      <c r="LBY67" s="170"/>
      <c r="LBZ67" s="170"/>
      <c r="LCA67" s="170"/>
      <c r="LCB67" s="170"/>
      <c r="LCC67" s="170"/>
      <c r="LCD67" s="170"/>
      <c r="LCE67" s="170"/>
      <c r="LCF67" s="170"/>
      <c r="LCG67" s="170"/>
      <c r="LCH67" s="170"/>
      <c r="LCI67" s="170"/>
      <c r="LCJ67" s="170"/>
      <c r="LCK67" s="170"/>
      <c r="LCL67" s="170"/>
      <c r="LCM67" s="170"/>
      <c r="LCN67" s="170"/>
      <c r="LCO67" s="170"/>
      <c r="LCP67" s="170"/>
      <c r="LCQ67" s="170"/>
      <c r="LCR67" s="170"/>
      <c r="LCS67" s="170"/>
      <c r="LCT67" s="170"/>
      <c r="LCU67" s="170"/>
      <c r="LCV67" s="170"/>
      <c r="LCW67" s="170"/>
      <c r="LCX67" s="170"/>
      <c r="LCY67" s="170"/>
      <c r="LCZ67" s="170"/>
      <c r="LDA67" s="170"/>
      <c r="LDB67" s="170"/>
      <c r="LDC67" s="170"/>
      <c r="LDD67" s="170"/>
      <c r="LDE67" s="170"/>
      <c r="LDF67" s="170"/>
      <c r="LDG67" s="170"/>
      <c r="LDH67" s="170"/>
      <c r="LDI67" s="170"/>
      <c r="LDJ67" s="170"/>
      <c r="LDK67" s="170"/>
      <c r="LDL67" s="170"/>
      <c r="LDM67" s="170"/>
      <c r="LDN67" s="170"/>
      <c r="LDO67" s="170"/>
      <c r="LDP67" s="170"/>
      <c r="LDQ67" s="170"/>
      <c r="LDR67" s="170"/>
      <c r="LDS67" s="170"/>
      <c r="LDT67" s="170"/>
      <c r="LDU67" s="170"/>
      <c r="LDV67" s="170"/>
      <c r="LDW67" s="170"/>
      <c r="LDX67" s="170"/>
      <c r="LDY67" s="170"/>
      <c r="LDZ67" s="170"/>
      <c r="LEA67" s="170"/>
      <c r="LEB67" s="170"/>
      <c r="LEC67" s="170"/>
      <c r="LED67" s="170"/>
      <c r="LEE67" s="170"/>
      <c r="LEF67" s="170"/>
      <c r="LEG67" s="170"/>
      <c r="LEH67" s="170"/>
      <c r="LEI67" s="170"/>
      <c r="LEJ67" s="170"/>
      <c r="LEK67" s="170"/>
      <c r="LEL67" s="170"/>
      <c r="LEM67" s="170"/>
      <c r="LEN67" s="170"/>
      <c r="LEO67" s="170"/>
      <c r="LEP67" s="170"/>
      <c r="LEQ67" s="170"/>
      <c r="LER67" s="170"/>
      <c r="LES67" s="170"/>
      <c r="LET67" s="170"/>
      <c r="LEU67" s="170"/>
      <c r="LEV67" s="170"/>
      <c r="LEW67" s="170"/>
      <c r="LEX67" s="170"/>
      <c r="LEY67" s="170"/>
      <c r="LEZ67" s="170"/>
      <c r="LFA67" s="170"/>
      <c r="LFB67" s="170"/>
      <c r="LFC67" s="170"/>
      <c r="LFD67" s="170"/>
      <c r="LFE67" s="170"/>
      <c r="LFF67" s="170"/>
      <c r="LFG67" s="170"/>
      <c r="LFH67" s="170"/>
      <c r="LFI67" s="170"/>
      <c r="LFJ67" s="170"/>
      <c r="LFK67" s="170"/>
      <c r="LFL67" s="170"/>
      <c r="LFM67" s="170"/>
      <c r="LFN67" s="170"/>
      <c r="LFO67" s="170"/>
      <c r="LFP67" s="170"/>
      <c r="LFQ67" s="170"/>
      <c r="LFR67" s="170"/>
      <c r="LFS67" s="170"/>
      <c r="LFT67" s="170"/>
      <c r="LFU67" s="170"/>
      <c r="LFV67" s="170"/>
      <c r="LFW67" s="170"/>
      <c r="LFX67" s="170"/>
      <c r="LFY67" s="170"/>
      <c r="LFZ67" s="170"/>
      <c r="LGA67" s="170"/>
      <c r="LGB67" s="170"/>
      <c r="LGC67" s="170"/>
      <c r="LGD67" s="170"/>
      <c r="LGE67" s="170"/>
      <c r="LGF67" s="170"/>
      <c r="LGG67" s="170"/>
      <c r="LGH67" s="170"/>
      <c r="LGI67" s="170"/>
      <c r="LGJ67" s="170"/>
      <c r="LGK67" s="170"/>
      <c r="LGL67" s="170"/>
      <c r="LGM67" s="170"/>
      <c r="LGN67" s="170"/>
      <c r="LGO67" s="170"/>
      <c r="LGP67" s="170"/>
      <c r="LGQ67" s="170"/>
      <c r="LGR67" s="170"/>
      <c r="LGS67" s="170"/>
      <c r="LGT67" s="170"/>
      <c r="LGU67" s="170"/>
      <c r="LGV67" s="170"/>
      <c r="LGW67" s="170"/>
      <c r="LGX67" s="170"/>
      <c r="LGY67" s="170"/>
      <c r="LGZ67" s="170"/>
      <c r="LHA67" s="170"/>
      <c r="LHB67" s="170"/>
      <c r="LHC67" s="170"/>
      <c r="LHD67" s="170"/>
      <c r="LHE67" s="170"/>
      <c r="LHF67" s="170"/>
      <c r="LHG67" s="170"/>
      <c r="LHH67" s="170"/>
      <c r="LHI67" s="170"/>
      <c r="LHJ67" s="170"/>
      <c r="LHK67" s="170"/>
      <c r="LHL67" s="170"/>
      <c r="LHM67" s="170"/>
      <c r="LHN67" s="170"/>
      <c r="LHO67" s="170"/>
      <c r="LHP67" s="170"/>
      <c r="LHQ67" s="170"/>
      <c r="LHR67" s="170"/>
      <c r="LHS67" s="170"/>
      <c r="LHT67" s="170"/>
      <c r="LHU67" s="170"/>
      <c r="LHV67" s="170"/>
      <c r="LHW67" s="170"/>
      <c r="LHX67" s="170"/>
      <c r="LHY67" s="170"/>
      <c r="LHZ67" s="170"/>
      <c r="LIA67" s="170"/>
      <c r="LIB67" s="170"/>
      <c r="LIC67" s="170"/>
      <c r="LID67" s="170"/>
      <c r="LIE67" s="170"/>
      <c r="LIF67" s="170"/>
      <c r="LIG67" s="170"/>
      <c r="LIH67" s="170"/>
      <c r="LII67" s="170"/>
      <c r="LIJ67" s="170"/>
      <c r="LIK67" s="170"/>
      <c r="LIL67" s="170"/>
      <c r="LIM67" s="170"/>
      <c r="LIN67" s="170"/>
      <c r="LIO67" s="170"/>
      <c r="LIP67" s="170"/>
      <c r="LIQ67" s="170"/>
      <c r="LIR67" s="170"/>
      <c r="LIS67" s="170"/>
      <c r="LIT67" s="170"/>
      <c r="LIU67" s="170"/>
      <c r="LIV67" s="170"/>
      <c r="LIW67" s="170"/>
      <c r="LIX67" s="170"/>
      <c r="LIY67" s="170"/>
      <c r="LIZ67" s="170"/>
      <c r="LJA67" s="170"/>
      <c r="LJB67" s="170"/>
      <c r="LJC67" s="170"/>
      <c r="LJD67" s="170"/>
      <c r="LJE67" s="170"/>
      <c r="LJF67" s="170"/>
      <c r="LJG67" s="170"/>
      <c r="LJH67" s="170"/>
      <c r="LJI67" s="170"/>
      <c r="LJJ67" s="170"/>
      <c r="LJK67" s="170"/>
      <c r="LJL67" s="170"/>
      <c r="LJM67" s="170"/>
      <c r="LJN67" s="170"/>
      <c r="LJO67" s="170"/>
      <c r="LJP67" s="170"/>
      <c r="LJQ67" s="170"/>
      <c r="LJR67" s="170"/>
      <c r="LJS67" s="170"/>
      <c r="LJT67" s="170"/>
      <c r="LJU67" s="170"/>
      <c r="LJV67" s="170"/>
      <c r="LJW67" s="170"/>
      <c r="LJX67" s="170"/>
      <c r="LJY67" s="170"/>
      <c r="LJZ67" s="170"/>
      <c r="LKA67" s="170"/>
      <c r="LKB67" s="170"/>
      <c r="LKC67" s="170"/>
      <c r="LKD67" s="170"/>
      <c r="LKE67" s="170"/>
      <c r="LKF67" s="170"/>
      <c r="LKG67" s="170"/>
      <c r="LKH67" s="170"/>
      <c r="LKI67" s="170"/>
      <c r="LKJ67" s="170"/>
      <c r="LKK67" s="170"/>
      <c r="LKL67" s="170"/>
      <c r="LKM67" s="170"/>
      <c r="LKN67" s="170"/>
      <c r="LKO67" s="170"/>
      <c r="LKP67" s="170"/>
      <c r="LKQ67" s="170"/>
      <c r="LKR67" s="170"/>
      <c r="LKS67" s="170"/>
      <c r="LKT67" s="170"/>
      <c r="LKU67" s="170"/>
      <c r="LKV67" s="170"/>
      <c r="LKW67" s="170"/>
      <c r="LKX67" s="170"/>
      <c r="LKY67" s="170"/>
      <c r="LKZ67" s="170"/>
      <c r="LLA67" s="170"/>
      <c r="LLB67" s="170"/>
      <c r="LLC67" s="170"/>
      <c r="LLD67" s="170"/>
      <c r="LLE67" s="170"/>
      <c r="LLF67" s="170"/>
      <c r="LLG67" s="170"/>
      <c r="LLH67" s="170"/>
      <c r="LLI67" s="170"/>
      <c r="LLJ67" s="170"/>
      <c r="LLK67" s="170"/>
      <c r="LLL67" s="170"/>
      <c r="LLM67" s="170"/>
      <c r="LLN67" s="170"/>
      <c r="LLO67" s="170"/>
      <c r="LLP67" s="170"/>
      <c r="LLQ67" s="170"/>
      <c r="LLR67" s="170"/>
      <c r="LLS67" s="170"/>
      <c r="LLT67" s="170"/>
      <c r="LLU67" s="170"/>
      <c r="LLV67" s="170"/>
      <c r="LLW67" s="170"/>
      <c r="LLX67" s="170"/>
      <c r="LLY67" s="170"/>
      <c r="LLZ67" s="170"/>
      <c r="LMA67" s="170"/>
      <c r="LMB67" s="170"/>
      <c r="LMC67" s="170"/>
      <c r="LMD67" s="170"/>
      <c r="LME67" s="170"/>
      <c r="LMF67" s="170"/>
      <c r="LMG67" s="170"/>
      <c r="LMH67" s="170"/>
      <c r="LMI67" s="170"/>
      <c r="LMJ67" s="170"/>
      <c r="LMK67" s="170"/>
      <c r="LML67" s="170"/>
      <c r="LMM67" s="170"/>
      <c r="LMN67" s="170"/>
      <c r="LMO67" s="170"/>
      <c r="LMP67" s="170"/>
      <c r="LMQ67" s="170"/>
      <c r="LMR67" s="170"/>
      <c r="LMS67" s="170"/>
      <c r="LMT67" s="170"/>
      <c r="LMU67" s="170"/>
      <c r="LMV67" s="170"/>
      <c r="LMW67" s="170"/>
      <c r="LMX67" s="170"/>
      <c r="LMY67" s="170"/>
      <c r="LMZ67" s="170"/>
      <c r="LNA67" s="170"/>
      <c r="LNB67" s="170"/>
      <c r="LNC67" s="170"/>
      <c r="LND67" s="170"/>
      <c r="LNE67" s="170"/>
      <c r="LNF67" s="170"/>
      <c r="LNG67" s="170"/>
      <c r="LNH67" s="170"/>
      <c r="LNI67" s="170"/>
      <c r="LNJ67" s="170"/>
      <c r="LNK67" s="170"/>
      <c r="LNL67" s="170"/>
      <c r="LNM67" s="170"/>
      <c r="LNN67" s="170"/>
      <c r="LNO67" s="170"/>
      <c r="LNP67" s="170"/>
      <c r="LNQ67" s="170"/>
      <c r="LNR67" s="170"/>
      <c r="LNS67" s="170"/>
      <c r="LNT67" s="170"/>
      <c r="LNU67" s="170"/>
      <c r="LNV67" s="170"/>
      <c r="LNW67" s="170"/>
      <c r="LNX67" s="170"/>
      <c r="LNY67" s="170"/>
      <c r="LNZ67" s="170"/>
      <c r="LOA67" s="170"/>
      <c r="LOB67" s="170"/>
      <c r="LOC67" s="170"/>
      <c r="LOD67" s="170"/>
      <c r="LOE67" s="170"/>
      <c r="LOF67" s="170"/>
      <c r="LOG67" s="170"/>
      <c r="LOH67" s="170"/>
      <c r="LOI67" s="170"/>
      <c r="LOJ67" s="170"/>
      <c r="LOK67" s="170"/>
      <c r="LOL67" s="170"/>
      <c r="LOM67" s="170"/>
      <c r="LON67" s="170"/>
      <c r="LOO67" s="170"/>
      <c r="LOP67" s="170"/>
      <c r="LOQ67" s="170"/>
      <c r="LOR67" s="170"/>
      <c r="LOS67" s="170"/>
      <c r="LOT67" s="170"/>
      <c r="LOU67" s="170"/>
      <c r="LOV67" s="170"/>
      <c r="LOW67" s="170"/>
      <c r="LOX67" s="170"/>
      <c r="LOY67" s="170"/>
      <c r="LOZ67" s="170"/>
      <c r="LPA67" s="170"/>
      <c r="LPB67" s="170"/>
      <c r="LPC67" s="170"/>
      <c r="LPD67" s="170"/>
      <c r="LPE67" s="170"/>
      <c r="LPF67" s="170"/>
      <c r="LPG67" s="170"/>
      <c r="LPH67" s="170"/>
      <c r="LPI67" s="170"/>
      <c r="LPJ67" s="170"/>
      <c r="LPK67" s="170"/>
      <c r="LPL67" s="170"/>
      <c r="LPM67" s="170"/>
      <c r="LPN67" s="170"/>
      <c r="LPO67" s="170"/>
      <c r="LPP67" s="170"/>
      <c r="LPQ67" s="170"/>
      <c r="LPR67" s="170"/>
      <c r="LPS67" s="170"/>
      <c r="LPT67" s="170"/>
      <c r="LPU67" s="170"/>
      <c r="LPV67" s="170"/>
      <c r="LPW67" s="170"/>
      <c r="LPX67" s="170"/>
      <c r="LPY67" s="170"/>
      <c r="LPZ67" s="170"/>
      <c r="LQA67" s="170"/>
      <c r="LQB67" s="170"/>
      <c r="LQC67" s="170"/>
      <c r="LQD67" s="170"/>
      <c r="LQE67" s="170"/>
      <c r="LQF67" s="170"/>
      <c r="LQG67" s="170"/>
      <c r="LQH67" s="170"/>
      <c r="LQI67" s="170"/>
      <c r="LQJ67" s="170"/>
      <c r="LQK67" s="170"/>
      <c r="LQL67" s="170"/>
      <c r="LQM67" s="170"/>
      <c r="LQN67" s="170"/>
      <c r="LQO67" s="170"/>
      <c r="LQP67" s="170"/>
      <c r="LQQ67" s="170"/>
      <c r="LQR67" s="170"/>
      <c r="LQS67" s="170"/>
      <c r="LQT67" s="170"/>
      <c r="LQU67" s="170"/>
      <c r="LQV67" s="170"/>
      <c r="LQW67" s="170"/>
      <c r="LQX67" s="170"/>
      <c r="LQY67" s="170"/>
      <c r="LQZ67" s="170"/>
      <c r="LRA67" s="170"/>
      <c r="LRB67" s="170"/>
      <c r="LRC67" s="170"/>
      <c r="LRD67" s="170"/>
      <c r="LRE67" s="170"/>
      <c r="LRF67" s="170"/>
      <c r="LRG67" s="170"/>
      <c r="LRH67" s="170"/>
      <c r="LRI67" s="170"/>
      <c r="LRJ67" s="170"/>
      <c r="LRK67" s="170"/>
      <c r="LRL67" s="170"/>
      <c r="LRM67" s="170"/>
      <c r="LRN67" s="170"/>
      <c r="LRO67" s="170"/>
      <c r="LRP67" s="170"/>
      <c r="LRQ67" s="170"/>
      <c r="LRR67" s="170"/>
      <c r="LRS67" s="170"/>
      <c r="LRT67" s="170"/>
      <c r="LRU67" s="170"/>
      <c r="LRV67" s="170"/>
      <c r="LRW67" s="170"/>
      <c r="LRX67" s="170"/>
      <c r="LRY67" s="170"/>
      <c r="LRZ67" s="170"/>
      <c r="LSA67" s="170"/>
      <c r="LSB67" s="170"/>
      <c r="LSC67" s="170"/>
      <c r="LSD67" s="170"/>
      <c r="LSE67" s="170"/>
      <c r="LSF67" s="170"/>
      <c r="LSG67" s="170"/>
      <c r="LSH67" s="170"/>
      <c r="LSI67" s="170"/>
      <c r="LSJ67" s="170"/>
      <c r="LSK67" s="170"/>
      <c r="LSL67" s="170"/>
      <c r="LSM67" s="170"/>
      <c r="LSN67" s="170"/>
      <c r="LSO67" s="170"/>
      <c r="LSP67" s="170"/>
      <c r="LSQ67" s="170"/>
      <c r="LSR67" s="170"/>
      <c r="LSS67" s="170"/>
      <c r="LST67" s="170"/>
      <c r="LSU67" s="170"/>
      <c r="LSV67" s="170"/>
      <c r="LSW67" s="170"/>
      <c r="LSX67" s="170"/>
      <c r="LSY67" s="170"/>
      <c r="LSZ67" s="170"/>
      <c r="LTA67" s="170"/>
      <c r="LTB67" s="170"/>
      <c r="LTC67" s="170"/>
      <c r="LTD67" s="170"/>
      <c r="LTE67" s="170"/>
      <c r="LTF67" s="170"/>
      <c r="LTG67" s="170"/>
      <c r="LTH67" s="170"/>
      <c r="LTI67" s="170"/>
      <c r="LTJ67" s="170"/>
      <c r="LTK67" s="170"/>
      <c r="LTL67" s="170"/>
      <c r="LTM67" s="170"/>
      <c r="LTN67" s="170"/>
      <c r="LTO67" s="170"/>
      <c r="LTP67" s="170"/>
      <c r="LTQ67" s="170"/>
      <c r="LTR67" s="170"/>
      <c r="LTS67" s="170"/>
      <c r="LTT67" s="170"/>
      <c r="LTU67" s="170"/>
      <c r="LTV67" s="170"/>
      <c r="LTW67" s="170"/>
      <c r="LTX67" s="170"/>
      <c r="LTY67" s="170"/>
      <c r="LTZ67" s="170"/>
      <c r="LUA67" s="170"/>
      <c r="LUB67" s="170"/>
      <c r="LUC67" s="170"/>
      <c r="LUD67" s="170"/>
      <c r="LUE67" s="170"/>
      <c r="LUF67" s="170"/>
      <c r="LUG67" s="170"/>
      <c r="LUH67" s="170"/>
      <c r="LUI67" s="170"/>
      <c r="LUJ67" s="170"/>
      <c r="LUK67" s="170"/>
      <c r="LUL67" s="170"/>
      <c r="LUM67" s="170"/>
      <c r="LUN67" s="170"/>
      <c r="LUO67" s="170"/>
      <c r="LUP67" s="170"/>
      <c r="LUQ67" s="170"/>
      <c r="LUR67" s="170"/>
      <c r="LUS67" s="170"/>
      <c r="LUT67" s="170"/>
      <c r="LUU67" s="170"/>
      <c r="LUV67" s="170"/>
      <c r="LUW67" s="170"/>
      <c r="LUX67" s="170"/>
      <c r="LUY67" s="170"/>
      <c r="LUZ67" s="170"/>
      <c r="LVA67" s="170"/>
      <c r="LVB67" s="170"/>
      <c r="LVC67" s="170"/>
      <c r="LVD67" s="170"/>
      <c r="LVE67" s="170"/>
      <c r="LVF67" s="170"/>
      <c r="LVG67" s="170"/>
      <c r="LVH67" s="170"/>
      <c r="LVI67" s="170"/>
      <c r="LVJ67" s="170"/>
      <c r="LVK67" s="170"/>
      <c r="LVL67" s="170"/>
      <c r="LVM67" s="170"/>
      <c r="LVN67" s="170"/>
      <c r="LVO67" s="170"/>
      <c r="LVP67" s="170"/>
      <c r="LVQ67" s="170"/>
      <c r="LVR67" s="170"/>
      <c r="LVS67" s="170"/>
      <c r="LVT67" s="170"/>
      <c r="LVU67" s="170"/>
      <c r="LVV67" s="170"/>
      <c r="LVW67" s="170"/>
      <c r="LVX67" s="170"/>
      <c r="LVY67" s="170"/>
      <c r="LVZ67" s="170"/>
      <c r="LWA67" s="170"/>
      <c r="LWB67" s="170"/>
      <c r="LWC67" s="170"/>
      <c r="LWD67" s="170"/>
      <c r="LWE67" s="170"/>
      <c r="LWF67" s="170"/>
      <c r="LWG67" s="170"/>
      <c r="LWH67" s="170"/>
      <c r="LWI67" s="170"/>
      <c r="LWJ67" s="170"/>
      <c r="LWK67" s="170"/>
      <c r="LWL67" s="170"/>
      <c r="LWM67" s="170"/>
      <c r="LWN67" s="170"/>
      <c r="LWO67" s="170"/>
      <c r="LWP67" s="170"/>
      <c r="LWQ67" s="170"/>
      <c r="LWR67" s="170"/>
      <c r="LWS67" s="170"/>
      <c r="LWT67" s="170"/>
      <c r="LWU67" s="170"/>
      <c r="LWV67" s="170"/>
      <c r="LWW67" s="170"/>
      <c r="LWX67" s="170"/>
      <c r="LWY67" s="170"/>
      <c r="LWZ67" s="170"/>
      <c r="LXA67" s="170"/>
      <c r="LXB67" s="170"/>
      <c r="LXC67" s="170"/>
      <c r="LXD67" s="170"/>
      <c r="LXE67" s="170"/>
      <c r="LXF67" s="170"/>
      <c r="LXG67" s="170"/>
      <c r="LXH67" s="170"/>
      <c r="LXI67" s="170"/>
      <c r="LXJ67" s="170"/>
      <c r="LXK67" s="170"/>
      <c r="LXL67" s="170"/>
      <c r="LXM67" s="170"/>
      <c r="LXN67" s="170"/>
      <c r="LXO67" s="170"/>
      <c r="LXP67" s="170"/>
      <c r="LXQ67" s="170"/>
      <c r="LXR67" s="170"/>
      <c r="LXS67" s="170"/>
      <c r="LXT67" s="170"/>
      <c r="LXU67" s="170"/>
      <c r="LXV67" s="170"/>
      <c r="LXW67" s="170"/>
      <c r="LXX67" s="170"/>
      <c r="LXY67" s="170"/>
      <c r="LXZ67" s="170"/>
      <c r="LYA67" s="170"/>
      <c r="LYB67" s="170"/>
      <c r="LYC67" s="170"/>
      <c r="LYD67" s="170"/>
      <c r="LYE67" s="170"/>
      <c r="LYF67" s="170"/>
      <c r="LYG67" s="170"/>
      <c r="LYH67" s="170"/>
      <c r="LYI67" s="170"/>
      <c r="LYJ67" s="170"/>
      <c r="LYK67" s="170"/>
      <c r="LYL67" s="170"/>
      <c r="LYM67" s="170"/>
      <c r="LYN67" s="170"/>
      <c r="LYO67" s="170"/>
      <c r="LYP67" s="170"/>
      <c r="LYQ67" s="170"/>
      <c r="LYR67" s="170"/>
      <c r="LYS67" s="170"/>
      <c r="LYT67" s="170"/>
      <c r="LYU67" s="170"/>
      <c r="LYV67" s="170"/>
      <c r="LYW67" s="170"/>
      <c r="LYX67" s="170"/>
      <c r="LYY67" s="170"/>
      <c r="LYZ67" s="170"/>
      <c r="LZA67" s="170"/>
      <c r="LZB67" s="170"/>
      <c r="LZC67" s="170"/>
      <c r="LZD67" s="170"/>
      <c r="LZE67" s="170"/>
      <c r="LZF67" s="170"/>
      <c r="LZG67" s="170"/>
      <c r="LZH67" s="170"/>
      <c r="LZI67" s="170"/>
      <c r="LZJ67" s="170"/>
      <c r="LZK67" s="170"/>
      <c r="LZL67" s="170"/>
      <c r="LZM67" s="170"/>
      <c r="LZN67" s="170"/>
      <c r="LZO67" s="170"/>
      <c r="LZP67" s="170"/>
      <c r="LZQ67" s="170"/>
      <c r="LZR67" s="170"/>
      <c r="LZS67" s="170"/>
      <c r="LZT67" s="170"/>
      <c r="LZU67" s="170"/>
      <c r="LZV67" s="170"/>
      <c r="LZW67" s="170"/>
      <c r="LZX67" s="170"/>
      <c r="LZY67" s="170"/>
      <c r="LZZ67" s="170"/>
      <c r="MAA67" s="170"/>
      <c r="MAB67" s="170"/>
      <c r="MAC67" s="170"/>
      <c r="MAD67" s="170"/>
      <c r="MAE67" s="170"/>
      <c r="MAF67" s="170"/>
      <c r="MAG67" s="170"/>
      <c r="MAH67" s="170"/>
      <c r="MAI67" s="170"/>
      <c r="MAJ67" s="170"/>
      <c r="MAK67" s="170"/>
      <c r="MAL67" s="170"/>
      <c r="MAM67" s="170"/>
      <c r="MAN67" s="170"/>
      <c r="MAO67" s="170"/>
      <c r="MAP67" s="170"/>
      <c r="MAQ67" s="170"/>
      <c r="MAR67" s="170"/>
      <c r="MAS67" s="170"/>
      <c r="MAT67" s="170"/>
      <c r="MAU67" s="170"/>
      <c r="MAV67" s="170"/>
      <c r="MAW67" s="170"/>
      <c r="MAX67" s="170"/>
      <c r="MAY67" s="170"/>
      <c r="MAZ67" s="170"/>
      <c r="MBA67" s="170"/>
      <c r="MBB67" s="170"/>
      <c r="MBC67" s="170"/>
      <c r="MBD67" s="170"/>
      <c r="MBE67" s="170"/>
      <c r="MBF67" s="170"/>
      <c r="MBG67" s="170"/>
      <c r="MBH67" s="170"/>
      <c r="MBI67" s="170"/>
      <c r="MBJ67" s="170"/>
      <c r="MBK67" s="170"/>
      <c r="MBL67" s="170"/>
      <c r="MBM67" s="170"/>
      <c r="MBN67" s="170"/>
      <c r="MBO67" s="170"/>
      <c r="MBP67" s="170"/>
      <c r="MBQ67" s="170"/>
      <c r="MBR67" s="170"/>
      <c r="MBS67" s="170"/>
      <c r="MBT67" s="170"/>
      <c r="MBU67" s="170"/>
      <c r="MBV67" s="170"/>
      <c r="MBW67" s="170"/>
      <c r="MBX67" s="170"/>
      <c r="MBY67" s="170"/>
      <c r="MBZ67" s="170"/>
      <c r="MCA67" s="170"/>
      <c r="MCB67" s="170"/>
      <c r="MCC67" s="170"/>
      <c r="MCD67" s="170"/>
      <c r="MCE67" s="170"/>
      <c r="MCF67" s="170"/>
      <c r="MCG67" s="170"/>
      <c r="MCH67" s="170"/>
      <c r="MCI67" s="170"/>
      <c r="MCJ67" s="170"/>
      <c r="MCK67" s="170"/>
      <c r="MCL67" s="170"/>
      <c r="MCM67" s="170"/>
      <c r="MCN67" s="170"/>
      <c r="MCO67" s="170"/>
      <c r="MCP67" s="170"/>
      <c r="MCQ67" s="170"/>
      <c r="MCR67" s="170"/>
      <c r="MCS67" s="170"/>
      <c r="MCT67" s="170"/>
      <c r="MCU67" s="170"/>
      <c r="MCV67" s="170"/>
      <c r="MCW67" s="170"/>
      <c r="MCX67" s="170"/>
      <c r="MCY67" s="170"/>
      <c r="MCZ67" s="170"/>
      <c r="MDA67" s="170"/>
      <c r="MDB67" s="170"/>
      <c r="MDC67" s="170"/>
      <c r="MDD67" s="170"/>
      <c r="MDE67" s="170"/>
      <c r="MDF67" s="170"/>
      <c r="MDG67" s="170"/>
      <c r="MDH67" s="170"/>
      <c r="MDI67" s="170"/>
      <c r="MDJ67" s="170"/>
      <c r="MDK67" s="170"/>
      <c r="MDL67" s="170"/>
      <c r="MDM67" s="170"/>
      <c r="MDN67" s="170"/>
      <c r="MDO67" s="170"/>
      <c r="MDP67" s="170"/>
      <c r="MDQ67" s="170"/>
      <c r="MDR67" s="170"/>
      <c r="MDS67" s="170"/>
      <c r="MDT67" s="170"/>
      <c r="MDU67" s="170"/>
      <c r="MDV67" s="170"/>
      <c r="MDW67" s="170"/>
      <c r="MDX67" s="170"/>
      <c r="MDY67" s="170"/>
      <c r="MDZ67" s="170"/>
      <c r="MEA67" s="170"/>
      <c r="MEB67" s="170"/>
      <c r="MEC67" s="170"/>
      <c r="MED67" s="170"/>
      <c r="MEE67" s="170"/>
      <c r="MEF67" s="170"/>
      <c r="MEG67" s="170"/>
      <c r="MEH67" s="170"/>
      <c r="MEI67" s="170"/>
      <c r="MEJ67" s="170"/>
      <c r="MEK67" s="170"/>
      <c r="MEL67" s="170"/>
      <c r="MEM67" s="170"/>
      <c r="MEN67" s="170"/>
      <c r="MEO67" s="170"/>
      <c r="MEP67" s="170"/>
      <c r="MEQ67" s="170"/>
      <c r="MER67" s="170"/>
      <c r="MES67" s="170"/>
      <c r="MET67" s="170"/>
      <c r="MEU67" s="170"/>
      <c r="MEV67" s="170"/>
      <c r="MEW67" s="170"/>
      <c r="MEX67" s="170"/>
      <c r="MEY67" s="170"/>
      <c r="MEZ67" s="170"/>
      <c r="MFA67" s="170"/>
      <c r="MFB67" s="170"/>
      <c r="MFC67" s="170"/>
      <c r="MFD67" s="170"/>
      <c r="MFE67" s="170"/>
      <c r="MFF67" s="170"/>
      <c r="MFG67" s="170"/>
      <c r="MFH67" s="170"/>
      <c r="MFI67" s="170"/>
      <c r="MFJ67" s="170"/>
      <c r="MFK67" s="170"/>
      <c r="MFL67" s="170"/>
      <c r="MFM67" s="170"/>
      <c r="MFN67" s="170"/>
      <c r="MFO67" s="170"/>
      <c r="MFP67" s="170"/>
      <c r="MFQ67" s="170"/>
      <c r="MFR67" s="170"/>
      <c r="MFS67" s="170"/>
      <c r="MFT67" s="170"/>
      <c r="MFU67" s="170"/>
      <c r="MFV67" s="170"/>
      <c r="MFW67" s="170"/>
      <c r="MFX67" s="170"/>
      <c r="MFY67" s="170"/>
      <c r="MFZ67" s="170"/>
      <c r="MGA67" s="170"/>
      <c r="MGB67" s="170"/>
      <c r="MGC67" s="170"/>
      <c r="MGD67" s="170"/>
      <c r="MGE67" s="170"/>
      <c r="MGF67" s="170"/>
      <c r="MGG67" s="170"/>
      <c r="MGH67" s="170"/>
      <c r="MGI67" s="170"/>
      <c r="MGJ67" s="170"/>
      <c r="MGK67" s="170"/>
      <c r="MGL67" s="170"/>
      <c r="MGM67" s="170"/>
      <c r="MGN67" s="170"/>
      <c r="MGO67" s="170"/>
      <c r="MGP67" s="170"/>
      <c r="MGQ67" s="170"/>
      <c r="MGR67" s="170"/>
      <c r="MGS67" s="170"/>
      <c r="MGT67" s="170"/>
      <c r="MGU67" s="170"/>
      <c r="MGV67" s="170"/>
      <c r="MGW67" s="170"/>
      <c r="MGX67" s="170"/>
      <c r="MGY67" s="170"/>
      <c r="MGZ67" s="170"/>
      <c r="MHA67" s="170"/>
      <c r="MHB67" s="170"/>
      <c r="MHC67" s="170"/>
      <c r="MHD67" s="170"/>
      <c r="MHE67" s="170"/>
      <c r="MHF67" s="170"/>
      <c r="MHG67" s="170"/>
      <c r="MHH67" s="170"/>
      <c r="MHI67" s="170"/>
      <c r="MHJ67" s="170"/>
      <c r="MHK67" s="170"/>
      <c r="MHL67" s="170"/>
      <c r="MHM67" s="170"/>
      <c r="MHN67" s="170"/>
      <c r="MHO67" s="170"/>
      <c r="MHP67" s="170"/>
      <c r="MHQ67" s="170"/>
      <c r="MHR67" s="170"/>
      <c r="MHS67" s="170"/>
      <c r="MHT67" s="170"/>
      <c r="MHU67" s="170"/>
      <c r="MHV67" s="170"/>
      <c r="MHW67" s="170"/>
      <c r="MHX67" s="170"/>
      <c r="MHY67" s="170"/>
      <c r="MHZ67" s="170"/>
      <c r="MIA67" s="170"/>
      <c r="MIB67" s="170"/>
      <c r="MIC67" s="170"/>
      <c r="MID67" s="170"/>
      <c r="MIE67" s="170"/>
      <c r="MIF67" s="170"/>
      <c r="MIG67" s="170"/>
      <c r="MIH67" s="170"/>
      <c r="MII67" s="170"/>
      <c r="MIJ67" s="170"/>
      <c r="MIK67" s="170"/>
      <c r="MIL67" s="170"/>
      <c r="MIM67" s="170"/>
      <c r="MIN67" s="170"/>
      <c r="MIO67" s="170"/>
      <c r="MIP67" s="170"/>
      <c r="MIQ67" s="170"/>
      <c r="MIR67" s="170"/>
      <c r="MIS67" s="170"/>
      <c r="MIT67" s="170"/>
      <c r="MIU67" s="170"/>
      <c r="MIV67" s="170"/>
      <c r="MIW67" s="170"/>
      <c r="MIX67" s="170"/>
      <c r="MIY67" s="170"/>
      <c r="MIZ67" s="170"/>
      <c r="MJA67" s="170"/>
      <c r="MJB67" s="170"/>
      <c r="MJC67" s="170"/>
      <c r="MJD67" s="170"/>
      <c r="MJE67" s="170"/>
      <c r="MJF67" s="170"/>
      <c r="MJG67" s="170"/>
      <c r="MJH67" s="170"/>
      <c r="MJI67" s="170"/>
      <c r="MJJ67" s="170"/>
      <c r="MJK67" s="170"/>
      <c r="MJL67" s="170"/>
      <c r="MJM67" s="170"/>
      <c r="MJN67" s="170"/>
      <c r="MJO67" s="170"/>
      <c r="MJP67" s="170"/>
      <c r="MJQ67" s="170"/>
      <c r="MJR67" s="170"/>
      <c r="MJS67" s="170"/>
      <c r="MJT67" s="170"/>
      <c r="MJU67" s="170"/>
      <c r="MJV67" s="170"/>
      <c r="MJW67" s="170"/>
      <c r="MJX67" s="170"/>
      <c r="MJY67" s="170"/>
      <c r="MJZ67" s="170"/>
      <c r="MKA67" s="170"/>
      <c r="MKB67" s="170"/>
      <c r="MKC67" s="170"/>
      <c r="MKD67" s="170"/>
      <c r="MKE67" s="170"/>
      <c r="MKF67" s="170"/>
      <c r="MKG67" s="170"/>
      <c r="MKH67" s="170"/>
      <c r="MKI67" s="170"/>
      <c r="MKJ67" s="170"/>
      <c r="MKK67" s="170"/>
      <c r="MKL67" s="170"/>
      <c r="MKM67" s="170"/>
      <c r="MKN67" s="170"/>
      <c r="MKO67" s="170"/>
      <c r="MKP67" s="170"/>
      <c r="MKQ67" s="170"/>
      <c r="MKR67" s="170"/>
      <c r="MKS67" s="170"/>
      <c r="MKT67" s="170"/>
      <c r="MKU67" s="170"/>
      <c r="MKV67" s="170"/>
      <c r="MKW67" s="170"/>
      <c r="MKX67" s="170"/>
      <c r="MKY67" s="170"/>
      <c r="MKZ67" s="170"/>
      <c r="MLA67" s="170"/>
      <c r="MLB67" s="170"/>
      <c r="MLC67" s="170"/>
      <c r="MLD67" s="170"/>
      <c r="MLE67" s="170"/>
      <c r="MLF67" s="170"/>
      <c r="MLG67" s="170"/>
      <c r="MLH67" s="170"/>
      <c r="MLI67" s="170"/>
      <c r="MLJ67" s="170"/>
      <c r="MLK67" s="170"/>
      <c r="MLL67" s="170"/>
      <c r="MLM67" s="170"/>
      <c r="MLN67" s="170"/>
      <c r="MLO67" s="170"/>
      <c r="MLP67" s="170"/>
      <c r="MLQ67" s="170"/>
      <c r="MLR67" s="170"/>
      <c r="MLS67" s="170"/>
      <c r="MLT67" s="170"/>
      <c r="MLU67" s="170"/>
      <c r="MLV67" s="170"/>
      <c r="MLW67" s="170"/>
      <c r="MLX67" s="170"/>
      <c r="MLY67" s="170"/>
      <c r="MLZ67" s="170"/>
      <c r="MMA67" s="170"/>
      <c r="MMB67" s="170"/>
      <c r="MMC67" s="170"/>
      <c r="MMD67" s="170"/>
      <c r="MME67" s="170"/>
      <c r="MMF67" s="170"/>
      <c r="MMG67" s="170"/>
      <c r="MMH67" s="170"/>
      <c r="MMI67" s="170"/>
      <c r="MMJ67" s="170"/>
      <c r="MMK67" s="170"/>
      <c r="MML67" s="170"/>
      <c r="MMM67" s="170"/>
      <c r="MMN67" s="170"/>
      <c r="MMO67" s="170"/>
      <c r="MMP67" s="170"/>
      <c r="MMQ67" s="170"/>
      <c r="MMR67" s="170"/>
      <c r="MMS67" s="170"/>
      <c r="MMT67" s="170"/>
      <c r="MMU67" s="170"/>
      <c r="MMV67" s="170"/>
      <c r="MMW67" s="170"/>
      <c r="MMX67" s="170"/>
      <c r="MMY67" s="170"/>
      <c r="MMZ67" s="170"/>
      <c r="MNA67" s="170"/>
      <c r="MNB67" s="170"/>
      <c r="MNC67" s="170"/>
      <c r="MND67" s="170"/>
      <c r="MNE67" s="170"/>
      <c r="MNF67" s="170"/>
      <c r="MNG67" s="170"/>
      <c r="MNH67" s="170"/>
      <c r="MNI67" s="170"/>
      <c r="MNJ67" s="170"/>
      <c r="MNK67" s="170"/>
      <c r="MNL67" s="170"/>
      <c r="MNM67" s="170"/>
      <c r="MNN67" s="170"/>
      <c r="MNO67" s="170"/>
      <c r="MNP67" s="170"/>
      <c r="MNQ67" s="170"/>
      <c r="MNR67" s="170"/>
      <c r="MNS67" s="170"/>
      <c r="MNT67" s="170"/>
      <c r="MNU67" s="170"/>
      <c r="MNV67" s="170"/>
      <c r="MNW67" s="170"/>
      <c r="MNX67" s="170"/>
      <c r="MNY67" s="170"/>
      <c r="MNZ67" s="170"/>
      <c r="MOA67" s="170"/>
      <c r="MOB67" s="170"/>
      <c r="MOC67" s="170"/>
      <c r="MOD67" s="170"/>
      <c r="MOE67" s="170"/>
      <c r="MOF67" s="170"/>
      <c r="MOG67" s="170"/>
      <c r="MOH67" s="170"/>
      <c r="MOI67" s="170"/>
      <c r="MOJ67" s="170"/>
      <c r="MOK67" s="170"/>
      <c r="MOL67" s="170"/>
      <c r="MOM67" s="170"/>
      <c r="MON67" s="170"/>
      <c r="MOO67" s="170"/>
      <c r="MOP67" s="170"/>
      <c r="MOQ67" s="170"/>
      <c r="MOR67" s="170"/>
      <c r="MOS67" s="170"/>
      <c r="MOT67" s="170"/>
      <c r="MOU67" s="170"/>
      <c r="MOV67" s="170"/>
      <c r="MOW67" s="170"/>
      <c r="MOX67" s="170"/>
      <c r="MOY67" s="170"/>
      <c r="MOZ67" s="170"/>
      <c r="MPA67" s="170"/>
      <c r="MPB67" s="170"/>
      <c r="MPC67" s="170"/>
      <c r="MPD67" s="170"/>
      <c r="MPE67" s="170"/>
      <c r="MPF67" s="170"/>
      <c r="MPG67" s="170"/>
      <c r="MPH67" s="170"/>
      <c r="MPI67" s="170"/>
      <c r="MPJ67" s="170"/>
      <c r="MPK67" s="170"/>
      <c r="MPL67" s="170"/>
      <c r="MPM67" s="170"/>
      <c r="MPN67" s="170"/>
      <c r="MPO67" s="170"/>
      <c r="MPP67" s="170"/>
      <c r="MPQ67" s="170"/>
      <c r="MPR67" s="170"/>
      <c r="MPS67" s="170"/>
      <c r="MPT67" s="170"/>
      <c r="MPU67" s="170"/>
      <c r="MPV67" s="170"/>
      <c r="MPW67" s="170"/>
      <c r="MPX67" s="170"/>
      <c r="MPY67" s="170"/>
      <c r="MPZ67" s="170"/>
      <c r="MQA67" s="170"/>
      <c r="MQB67" s="170"/>
      <c r="MQC67" s="170"/>
      <c r="MQD67" s="170"/>
      <c r="MQE67" s="170"/>
      <c r="MQF67" s="170"/>
      <c r="MQG67" s="170"/>
      <c r="MQH67" s="170"/>
      <c r="MQI67" s="170"/>
      <c r="MQJ67" s="170"/>
      <c r="MQK67" s="170"/>
      <c r="MQL67" s="170"/>
      <c r="MQM67" s="170"/>
      <c r="MQN67" s="170"/>
      <c r="MQO67" s="170"/>
      <c r="MQP67" s="170"/>
      <c r="MQQ67" s="170"/>
      <c r="MQR67" s="170"/>
      <c r="MQS67" s="170"/>
      <c r="MQT67" s="170"/>
      <c r="MQU67" s="170"/>
      <c r="MQV67" s="170"/>
      <c r="MQW67" s="170"/>
      <c r="MQX67" s="170"/>
      <c r="MQY67" s="170"/>
      <c r="MQZ67" s="170"/>
      <c r="MRA67" s="170"/>
      <c r="MRB67" s="170"/>
      <c r="MRC67" s="170"/>
      <c r="MRD67" s="170"/>
      <c r="MRE67" s="170"/>
      <c r="MRF67" s="170"/>
      <c r="MRG67" s="170"/>
      <c r="MRH67" s="170"/>
      <c r="MRI67" s="170"/>
      <c r="MRJ67" s="170"/>
      <c r="MRK67" s="170"/>
      <c r="MRL67" s="170"/>
      <c r="MRM67" s="170"/>
      <c r="MRN67" s="170"/>
      <c r="MRO67" s="170"/>
      <c r="MRP67" s="170"/>
      <c r="MRQ67" s="170"/>
      <c r="MRR67" s="170"/>
      <c r="MRS67" s="170"/>
      <c r="MRT67" s="170"/>
      <c r="MRU67" s="170"/>
      <c r="MRV67" s="170"/>
      <c r="MRW67" s="170"/>
      <c r="MRX67" s="170"/>
      <c r="MRY67" s="170"/>
      <c r="MRZ67" s="170"/>
      <c r="MSA67" s="170"/>
      <c r="MSB67" s="170"/>
      <c r="MSC67" s="170"/>
      <c r="MSD67" s="170"/>
      <c r="MSE67" s="170"/>
      <c r="MSF67" s="170"/>
      <c r="MSG67" s="170"/>
      <c r="MSH67" s="170"/>
      <c r="MSI67" s="170"/>
      <c r="MSJ67" s="170"/>
      <c r="MSK67" s="170"/>
      <c r="MSL67" s="170"/>
      <c r="MSM67" s="170"/>
      <c r="MSN67" s="170"/>
      <c r="MSO67" s="170"/>
      <c r="MSP67" s="170"/>
      <c r="MSQ67" s="170"/>
      <c r="MSR67" s="170"/>
      <c r="MSS67" s="170"/>
      <c r="MST67" s="170"/>
      <c r="MSU67" s="170"/>
      <c r="MSV67" s="170"/>
      <c r="MSW67" s="170"/>
      <c r="MSX67" s="170"/>
      <c r="MSY67" s="170"/>
      <c r="MSZ67" s="170"/>
      <c r="MTA67" s="170"/>
      <c r="MTB67" s="170"/>
      <c r="MTC67" s="170"/>
      <c r="MTD67" s="170"/>
      <c r="MTE67" s="170"/>
      <c r="MTF67" s="170"/>
      <c r="MTG67" s="170"/>
      <c r="MTH67" s="170"/>
      <c r="MTI67" s="170"/>
      <c r="MTJ67" s="170"/>
      <c r="MTK67" s="170"/>
      <c r="MTL67" s="170"/>
      <c r="MTM67" s="170"/>
      <c r="MTN67" s="170"/>
      <c r="MTO67" s="170"/>
      <c r="MTP67" s="170"/>
      <c r="MTQ67" s="170"/>
      <c r="MTR67" s="170"/>
      <c r="MTS67" s="170"/>
      <c r="MTT67" s="170"/>
      <c r="MTU67" s="170"/>
      <c r="MTV67" s="170"/>
      <c r="MTW67" s="170"/>
      <c r="MTX67" s="170"/>
      <c r="MTY67" s="170"/>
      <c r="MTZ67" s="170"/>
      <c r="MUA67" s="170"/>
      <c r="MUB67" s="170"/>
      <c r="MUC67" s="170"/>
      <c r="MUD67" s="170"/>
      <c r="MUE67" s="170"/>
      <c r="MUF67" s="170"/>
      <c r="MUG67" s="170"/>
      <c r="MUH67" s="170"/>
      <c r="MUI67" s="170"/>
      <c r="MUJ67" s="170"/>
      <c r="MUK67" s="170"/>
      <c r="MUL67" s="170"/>
      <c r="MUM67" s="170"/>
      <c r="MUN67" s="170"/>
      <c r="MUO67" s="170"/>
      <c r="MUP67" s="170"/>
      <c r="MUQ67" s="170"/>
      <c r="MUR67" s="170"/>
      <c r="MUS67" s="170"/>
      <c r="MUT67" s="170"/>
      <c r="MUU67" s="170"/>
      <c r="MUV67" s="170"/>
      <c r="MUW67" s="170"/>
      <c r="MUX67" s="170"/>
      <c r="MUY67" s="170"/>
      <c r="MUZ67" s="170"/>
      <c r="MVA67" s="170"/>
      <c r="MVB67" s="170"/>
      <c r="MVC67" s="170"/>
      <c r="MVD67" s="170"/>
      <c r="MVE67" s="170"/>
      <c r="MVF67" s="170"/>
      <c r="MVG67" s="170"/>
      <c r="MVH67" s="170"/>
      <c r="MVI67" s="170"/>
      <c r="MVJ67" s="170"/>
      <c r="MVK67" s="170"/>
      <c r="MVL67" s="170"/>
      <c r="MVM67" s="170"/>
      <c r="MVN67" s="170"/>
      <c r="MVO67" s="170"/>
      <c r="MVP67" s="170"/>
      <c r="MVQ67" s="170"/>
      <c r="MVR67" s="170"/>
      <c r="MVS67" s="170"/>
      <c r="MVT67" s="170"/>
      <c r="MVU67" s="170"/>
      <c r="MVV67" s="170"/>
      <c r="MVW67" s="170"/>
      <c r="MVX67" s="170"/>
      <c r="MVY67" s="170"/>
      <c r="MVZ67" s="170"/>
      <c r="MWA67" s="170"/>
      <c r="MWB67" s="170"/>
      <c r="MWC67" s="170"/>
      <c r="MWD67" s="170"/>
      <c r="MWE67" s="170"/>
      <c r="MWF67" s="170"/>
      <c r="MWG67" s="170"/>
      <c r="MWH67" s="170"/>
      <c r="MWI67" s="170"/>
      <c r="MWJ67" s="170"/>
      <c r="MWK67" s="170"/>
      <c r="MWL67" s="170"/>
      <c r="MWM67" s="170"/>
      <c r="MWN67" s="170"/>
      <c r="MWO67" s="170"/>
      <c r="MWP67" s="170"/>
      <c r="MWQ67" s="170"/>
      <c r="MWR67" s="170"/>
      <c r="MWS67" s="170"/>
      <c r="MWT67" s="170"/>
      <c r="MWU67" s="170"/>
      <c r="MWV67" s="170"/>
      <c r="MWW67" s="170"/>
      <c r="MWX67" s="170"/>
      <c r="MWY67" s="170"/>
      <c r="MWZ67" s="170"/>
      <c r="MXA67" s="170"/>
      <c r="MXB67" s="170"/>
      <c r="MXC67" s="170"/>
      <c r="MXD67" s="170"/>
      <c r="MXE67" s="170"/>
      <c r="MXF67" s="170"/>
      <c r="MXG67" s="170"/>
      <c r="MXH67" s="170"/>
      <c r="MXI67" s="170"/>
      <c r="MXJ67" s="170"/>
      <c r="MXK67" s="170"/>
      <c r="MXL67" s="170"/>
      <c r="MXM67" s="170"/>
      <c r="MXN67" s="170"/>
      <c r="MXO67" s="170"/>
      <c r="MXP67" s="170"/>
      <c r="MXQ67" s="170"/>
      <c r="MXR67" s="170"/>
      <c r="MXS67" s="170"/>
      <c r="MXT67" s="170"/>
      <c r="MXU67" s="170"/>
      <c r="MXV67" s="170"/>
      <c r="MXW67" s="170"/>
      <c r="MXX67" s="170"/>
      <c r="MXY67" s="170"/>
      <c r="MXZ67" s="170"/>
      <c r="MYA67" s="170"/>
      <c r="MYB67" s="170"/>
      <c r="MYC67" s="170"/>
      <c r="MYD67" s="170"/>
      <c r="MYE67" s="170"/>
      <c r="MYF67" s="170"/>
      <c r="MYG67" s="170"/>
      <c r="MYH67" s="170"/>
      <c r="MYI67" s="170"/>
      <c r="MYJ67" s="170"/>
      <c r="MYK67" s="170"/>
      <c r="MYL67" s="170"/>
      <c r="MYM67" s="170"/>
      <c r="MYN67" s="170"/>
      <c r="MYO67" s="170"/>
      <c r="MYP67" s="170"/>
      <c r="MYQ67" s="170"/>
      <c r="MYR67" s="170"/>
      <c r="MYS67" s="170"/>
      <c r="MYT67" s="170"/>
      <c r="MYU67" s="170"/>
      <c r="MYV67" s="170"/>
      <c r="MYW67" s="170"/>
      <c r="MYX67" s="170"/>
      <c r="MYY67" s="170"/>
      <c r="MYZ67" s="170"/>
      <c r="MZA67" s="170"/>
      <c r="MZB67" s="170"/>
      <c r="MZC67" s="170"/>
      <c r="MZD67" s="170"/>
      <c r="MZE67" s="170"/>
      <c r="MZF67" s="170"/>
      <c r="MZG67" s="170"/>
      <c r="MZH67" s="170"/>
      <c r="MZI67" s="170"/>
      <c r="MZJ67" s="170"/>
      <c r="MZK67" s="170"/>
      <c r="MZL67" s="170"/>
      <c r="MZM67" s="170"/>
      <c r="MZN67" s="170"/>
      <c r="MZO67" s="170"/>
      <c r="MZP67" s="170"/>
      <c r="MZQ67" s="170"/>
      <c r="MZR67" s="170"/>
      <c r="MZS67" s="170"/>
      <c r="MZT67" s="170"/>
      <c r="MZU67" s="170"/>
      <c r="MZV67" s="170"/>
      <c r="MZW67" s="170"/>
      <c r="MZX67" s="170"/>
      <c r="MZY67" s="170"/>
      <c r="MZZ67" s="170"/>
      <c r="NAA67" s="170"/>
      <c r="NAB67" s="170"/>
      <c r="NAC67" s="170"/>
      <c r="NAD67" s="170"/>
      <c r="NAE67" s="170"/>
      <c r="NAF67" s="170"/>
      <c r="NAG67" s="170"/>
      <c r="NAH67" s="170"/>
      <c r="NAI67" s="170"/>
      <c r="NAJ67" s="170"/>
      <c r="NAK67" s="170"/>
      <c r="NAL67" s="170"/>
      <c r="NAM67" s="170"/>
      <c r="NAN67" s="170"/>
      <c r="NAO67" s="170"/>
      <c r="NAP67" s="170"/>
      <c r="NAQ67" s="170"/>
      <c r="NAR67" s="170"/>
      <c r="NAS67" s="170"/>
      <c r="NAT67" s="170"/>
      <c r="NAU67" s="170"/>
      <c r="NAV67" s="170"/>
      <c r="NAW67" s="170"/>
      <c r="NAX67" s="170"/>
      <c r="NAY67" s="170"/>
      <c r="NAZ67" s="170"/>
      <c r="NBA67" s="170"/>
      <c r="NBB67" s="170"/>
      <c r="NBC67" s="170"/>
      <c r="NBD67" s="170"/>
      <c r="NBE67" s="170"/>
      <c r="NBF67" s="170"/>
      <c r="NBG67" s="170"/>
      <c r="NBH67" s="170"/>
      <c r="NBI67" s="170"/>
      <c r="NBJ67" s="170"/>
      <c r="NBK67" s="170"/>
      <c r="NBL67" s="170"/>
      <c r="NBM67" s="170"/>
      <c r="NBN67" s="170"/>
      <c r="NBO67" s="170"/>
      <c r="NBP67" s="170"/>
      <c r="NBQ67" s="170"/>
      <c r="NBR67" s="170"/>
      <c r="NBS67" s="170"/>
      <c r="NBT67" s="170"/>
      <c r="NBU67" s="170"/>
      <c r="NBV67" s="170"/>
      <c r="NBW67" s="170"/>
      <c r="NBX67" s="170"/>
      <c r="NBY67" s="170"/>
      <c r="NBZ67" s="170"/>
      <c r="NCA67" s="170"/>
      <c r="NCB67" s="170"/>
      <c r="NCC67" s="170"/>
      <c r="NCD67" s="170"/>
      <c r="NCE67" s="170"/>
      <c r="NCF67" s="170"/>
      <c r="NCG67" s="170"/>
      <c r="NCH67" s="170"/>
      <c r="NCI67" s="170"/>
      <c r="NCJ67" s="170"/>
      <c r="NCK67" s="170"/>
      <c r="NCL67" s="170"/>
      <c r="NCM67" s="170"/>
      <c r="NCN67" s="170"/>
      <c r="NCO67" s="170"/>
      <c r="NCP67" s="170"/>
      <c r="NCQ67" s="170"/>
      <c r="NCR67" s="170"/>
      <c r="NCS67" s="170"/>
      <c r="NCT67" s="170"/>
      <c r="NCU67" s="170"/>
      <c r="NCV67" s="170"/>
      <c r="NCW67" s="170"/>
      <c r="NCX67" s="170"/>
      <c r="NCY67" s="170"/>
      <c r="NCZ67" s="170"/>
      <c r="NDA67" s="170"/>
      <c r="NDB67" s="170"/>
      <c r="NDC67" s="170"/>
      <c r="NDD67" s="170"/>
      <c r="NDE67" s="170"/>
      <c r="NDF67" s="170"/>
      <c r="NDG67" s="170"/>
      <c r="NDH67" s="170"/>
      <c r="NDI67" s="170"/>
      <c r="NDJ67" s="170"/>
      <c r="NDK67" s="170"/>
      <c r="NDL67" s="170"/>
      <c r="NDM67" s="170"/>
      <c r="NDN67" s="170"/>
      <c r="NDO67" s="170"/>
      <c r="NDP67" s="170"/>
      <c r="NDQ67" s="170"/>
      <c r="NDR67" s="170"/>
      <c r="NDS67" s="170"/>
      <c r="NDT67" s="170"/>
      <c r="NDU67" s="170"/>
      <c r="NDV67" s="170"/>
      <c r="NDW67" s="170"/>
      <c r="NDX67" s="170"/>
      <c r="NDY67" s="170"/>
      <c r="NDZ67" s="170"/>
      <c r="NEA67" s="170"/>
      <c r="NEB67" s="170"/>
      <c r="NEC67" s="170"/>
      <c r="NED67" s="170"/>
      <c r="NEE67" s="170"/>
      <c r="NEF67" s="170"/>
      <c r="NEG67" s="170"/>
      <c r="NEH67" s="170"/>
      <c r="NEI67" s="170"/>
      <c r="NEJ67" s="170"/>
      <c r="NEK67" s="170"/>
      <c r="NEL67" s="170"/>
      <c r="NEM67" s="170"/>
      <c r="NEN67" s="170"/>
      <c r="NEO67" s="170"/>
      <c r="NEP67" s="170"/>
      <c r="NEQ67" s="170"/>
      <c r="NER67" s="170"/>
      <c r="NES67" s="170"/>
      <c r="NET67" s="170"/>
      <c r="NEU67" s="170"/>
      <c r="NEV67" s="170"/>
      <c r="NEW67" s="170"/>
      <c r="NEX67" s="170"/>
      <c r="NEY67" s="170"/>
      <c r="NEZ67" s="170"/>
      <c r="NFA67" s="170"/>
      <c r="NFB67" s="170"/>
      <c r="NFC67" s="170"/>
      <c r="NFD67" s="170"/>
      <c r="NFE67" s="170"/>
      <c r="NFF67" s="170"/>
      <c r="NFG67" s="170"/>
      <c r="NFH67" s="170"/>
      <c r="NFI67" s="170"/>
      <c r="NFJ67" s="170"/>
      <c r="NFK67" s="170"/>
      <c r="NFL67" s="170"/>
      <c r="NFM67" s="170"/>
      <c r="NFN67" s="170"/>
      <c r="NFO67" s="170"/>
      <c r="NFP67" s="170"/>
      <c r="NFQ67" s="170"/>
      <c r="NFR67" s="170"/>
      <c r="NFS67" s="170"/>
      <c r="NFT67" s="170"/>
      <c r="NFU67" s="170"/>
      <c r="NFV67" s="170"/>
      <c r="NFW67" s="170"/>
      <c r="NFX67" s="170"/>
      <c r="NFY67" s="170"/>
      <c r="NFZ67" s="170"/>
      <c r="NGA67" s="170"/>
      <c r="NGB67" s="170"/>
      <c r="NGC67" s="170"/>
      <c r="NGD67" s="170"/>
      <c r="NGE67" s="170"/>
      <c r="NGF67" s="170"/>
      <c r="NGG67" s="170"/>
      <c r="NGH67" s="170"/>
      <c r="NGI67" s="170"/>
      <c r="NGJ67" s="170"/>
      <c r="NGK67" s="170"/>
      <c r="NGL67" s="170"/>
      <c r="NGM67" s="170"/>
      <c r="NGN67" s="170"/>
      <c r="NGO67" s="170"/>
      <c r="NGP67" s="170"/>
      <c r="NGQ67" s="170"/>
      <c r="NGR67" s="170"/>
      <c r="NGS67" s="170"/>
      <c r="NGT67" s="170"/>
      <c r="NGU67" s="170"/>
      <c r="NGV67" s="170"/>
      <c r="NGW67" s="170"/>
      <c r="NGX67" s="170"/>
      <c r="NGY67" s="170"/>
      <c r="NGZ67" s="170"/>
      <c r="NHA67" s="170"/>
      <c r="NHB67" s="170"/>
      <c r="NHC67" s="170"/>
      <c r="NHD67" s="170"/>
      <c r="NHE67" s="170"/>
      <c r="NHF67" s="170"/>
      <c r="NHG67" s="170"/>
      <c r="NHH67" s="170"/>
      <c r="NHI67" s="170"/>
      <c r="NHJ67" s="170"/>
      <c r="NHK67" s="170"/>
      <c r="NHL67" s="170"/>
      <c r="NHM67" s="170"/>
      <c r="NHN67" s="170"/>
      <c r="NHO67" s="170"/>
      <c r="NHP67" s="170"/>
      <c r="NHQ67" s="170"/>
      <c r="NHR67" s="170"/>
      <c r="NHS67" s="170"/>
      <c r="NHT67" s="170"/>
      <c r="NHU67" s="170"/>
      <c r="NHV67" s="170"/>
      <c r="NHW67" s="170"/>
      <c r="NHX67" s="170"/>
      <c r="NHY67" s="170"/>
      <c r="NHZ67" s="170"/>
      <c r="NIA67" s="170"/>
      <c r="NIB67" s="170"/>
      <c r="NIC67" s="170"/>
      <c r="NID67" s="170"/>
      <c r="NIE67" s="170"/>
      <c r="NIF67" s="170"/>
      <c r="NIG67" s="170"/>
      <c r="NIH67" s="170"/>
      <c r="NII67" s="170"/>
      <c r="NIJ67" s="170"/>
      <c r="NIK67" s="170"/>
      <c r="NIL67" s="170"/>
      <c r="NIM67" s="170"/>
      <c r="NIN67" s="170"/>
      <c r="NIO67" s="170"/>
      <c r="NIP67" s="170"/>
      <c r="NIQ67" s="170"/>
      <c r="NIR67" s="170"/>
      <c r="NIS67" s="170"/>
      <c r="NIT67" s="170"/>
      <c r="NIU67" s="170"/>
      <c r="NIV67" s="170"/>
      <c r="NIW67" s="170"/>
      <c r="NIX67" s="170"/>
      <c r="NIY67" s="170"/>
      <c r="NIZ67" s="170"/>
      <c r="NJA67" s="170"/>
      <c r="NJB67" s="170"/>
      <c r="NJC67" s="170"/>
      <c r="NJD67" s="170"/>
      <c r="NJE67" s="170"/>
      <c r="NJF67" s="170"/>
      <c r="NJG67" s="170"/>
      <c r="NJH67" s="170"/>
      <c r="NJI67" s="170"/>
      <c r="NJJ67" s="170"/>
      <c r="NJK67" s="170"/>
      <c r="NJL67" s="170"/>
      <c r="NJM67" s="170"/>
      <c r="NJN67" s="170"/>
      <c r="NJO67" s="170"/>
      <c r="NJP67" s="170"/>
      <c r="NJQ67" s="170"/>
      <c r="NJR67" s="170"/>
      <c r="NJS67" s="170"/>
      <c r="NJT67" s="170"/>
      <c r="NJU67" s="170"/>
      <c r="NJV67" s="170"/>
      <c r="NJW67" s="170"/>
      <c r="NJX67" s="170"/>
      <c r="NJY67" s="170"/>
      <c r="NJZ67" s="170"/>
      <c r="NKA67" s="170"/>
      <c r="NKB67" s="170"/>
      <c r="NKC67" s="170"/>
      <c r="NKD67" s="170"/>
      <c r="NKE67" s="170"/>
      <c r="NKF67" s="170"/>
      <c r="NKG67" s="170"/>
      <c r="NKH67" s="170"/>
      <c r="NKI67" s="170"/>
      <c r="NKJ67" s="170"/>
      <c r="NKK67" s="170"/>
      <c r="NKL67" s="170"/>
      <c r="NKM67" s="170"/>
      <c r="NKN67" s="170"/>
      <c r="NKO67" s="170"/>
      <c r="NKP67" s="170"/>
      <c r="NKQ67" s="170"/>
      <c r="NKR67" s="170"/>
      <c r="NKS67" s="170"/>
      <c r="NKT67" s="170"/>
      <c r="NKU67" s="170"/>
      <c r="NKV67" s="170"/>
      <c r="NKW67" s="170"/>
      <c r="NKX67" s="170"/>
      <c r="NKY67" s="170"/>
      <c r="NKZ67" s="170"/>
      <c r="NLA67" s="170"/>
      <c r="NLB67" s="170"/>
      <c r="NLC67" s="170"/>
      <c r="NLD67" s="170"/>
      <c r="NLE67" s="170"/>
      <c r="NLF67" s="170"/>
      <c r="NLG67" s="170"/>
      <c r="NLH67" s="170"/>
      <c r="NLI67" s="170"/>
      <c r="NLJ67" s="170"/>
      <c r="NLK67" s="170"/>
      <c r="NLL67" s="170"/>
      <c r="NLM67" s="170"/>
      <c r="NLN67" s="170"/>
      <c r="NLO67" s="170"/>
      <c r="NLP67" s="170"/>
      <c r="NLQ67" s="170"/>
      <c r="NLR67" s="170"/>
      <c r="NLS67" s="170"/>
      <c r="NLT67" s="170"/>
      <c r="NLU67" s="170"/>
      <c r="NLV67" s="170"/>
      <c r="NLW67" s="170"/>
      <c r="NLX67" s="170"/>
      <c r="NLY67" s="170"/>
      <c r="NLZ67" s="170"/>
      <c r="NMA67" s="170"/>
      <c r="NMB67" s="170"/>
      <c r="NMC67" s="170"/>
      <c r="NMD67" s="170"/>
      <c r="NME67" s="170"/>
      <c r="NMF67" s="170"/>
      <c r="NMG67" s="170"/>
      <c r="NMH67" s="170"/>
      <c r="NMI67" s="170"/>
      <c r="NMJ67" s="170"/>
      <c r="NMK67" s="170"/>
      <c r="NML67" s="170"/>
      <c r="NMM67" s="170"/>
      <c r="NMN67" s="170"/>
      <c r="NMO67" s="170"/>
      <c r="NMP67" s="170"/>
      <c r="NMQ67" s="170"/>
      <c r="NMR67" s="170"/>
      <c r="NMS67" s="170"/>
      <c r="NMT67" s="170"/>
      <c r="NMU67" s="170"/>
      <c r="NMV67" s="170"/>
      <c r="NMW67" s="170"/>
      <c r="NMX67" s="170"/>
      <c r="NMY67" s="170"/>
      <c r="NMZ67" s="170"/>
      <c r="NNA67" s="170"/>
      <c r="NNB67" s="170"/>
      <c r="NNC67" s="170"/>
      <c r="NND67" s="170"/>
      <c r="NNE67" s="170"/>
      <c r="NNF67" s="170"/>
      <c r="NNG67" s="170"/>
      <c r="NNH67" s="170"/>
      <c r="NNI67" s="170"/>
      <c r="NNJ67" s="170"/>
      <c r="NNK67" s="170"/>
      <c r="NNL67" s="170"/>
      <c r="NNM67" s="170"/>
      <c r="NNN67" s="170"/>
      <c r="NNO67" s="170"/>
      <c r="NNP67" s="170"/>
      <c r="NNQ67" s="170"/>
      <c r="NNR67" s="170"/>
      <c r="NNS67" s="170"/>
      <c r="NNT67" s="170"/>
      <c r="NNU67" s="170"/>
      <c r="NNV67" s="170"/>
      <c r="NNW67" s="170"/>
      <c r="NNX67" s="170"/>
      <c r="NNY67" s="170"/>
      <c r="NNZ67" s="170"/>
      <c r="NOA67" s="170"/>
      <c r="NOB67" s="170"/>
      <c r="NOC67" s="170"/>
      <c r="NOD67" s="170"/>
      <c r="NOE67" s="170"/>
      <c r="NOF67" s="170"/>
      <c r="NOG67" s="170"/>
      <c r="NOH67" s="170"/>
      <c r="NOI67" s="170"/>
      <c r="NOJ67" s="170"/>
      <c r="NOK67" s="170"/>
      <c r="NOL67" s="170"/>
      <c r="NOM67" s="170"/>
      <c r="NON67" s="170"/>
      <c r="NOO67" s="170"/>
      <c r="NOP67" s="170"/>
      <c r="NOQ67" s="170"/>
      <c r="NOR67" s="170"/>
      <c r="NOS67" s="170"/>
      <c r="NOT67" s="170"/>
      <c r="NOU67" s="170"/>
      <c r="NOV67" s="170"/>
      <c r="NOW67" s="170"/>
      <c r="NOX67" s="170"/>
      <c r="NOY67" s="170"/>
      <c r="NOZ67" s="170"/>
      <c r="NPA67" s="170"/>
      <c r="NPB67" s="170"/>
      <c r="NPC67" s="170"/>
      <c r="NPD67" s="170"/>
      <c r="NPE67" s="170"/>
      <c r="NPF67" s="170"/>
      <c r="NPG67" s="170"/>
      <c r="NPH67" s="170"/>
      <c r="NPI67" s="170"/>
      <c r="NPJ67" s="170"/>
      <c r="NPK67" s="170"/>
      <c r="NPL67" s="170"/>
      <c r="NPM67" s="170"/>
      <c r="NPN67" s="170"/>
      <c r="NPO67" s="170"/>
      <c r="NPP67" s="170"/>
      <c r="NPQ67" s="170"/>
      <c r="NPR67" s="170"/>
      <c r="NPS67" s="170"/>
      <c r="NPT67" s="170"/>
      <c r="NPU67" s="170"/>
      <c r="NPV67" s="170"/>
      <c r="NPW67" s="170"/>
      <c r="NPX67" s="170"/>
      <c r="NPY67" s="170"/>
      <c r="NPZ67" s="170"/>
      <c r="NQA67" s="170"/>
      <c r="NQB67" s="170"/>
      <c r="NQC67" s="170"/>
      <c r="NQD67" s="170"/>
      <c r="NQE67" s="170"/>
      <c r="NQF67" s="170"/>
      <c r="NQG67" s="170"/>
      <c r="NQH67" s="170"/>
      <c r="NQI67" s="170"/>
      <c r="NQJ67" s="170"/>
      <c r="NQK67" s="170"/>
      <c r="NQL67" s="170"/>
      <c r="NQM67" s="170"/>
      <c r="NQN67" s="170"/>
      <c r="NQO67" s="170"/>
      <c r="NQP67" s="170"/>
      <c r="NQQ67" s="170"/>
      <c r="NQR67" s="170"/>
      <c r="NQS67" s="170"/>
      <c r="NQT67" s="170"/>
      <c r="NQU67" s="170"/>
      <c r="NQV67" s="170"/>
      <c r="NQW67" s="170"/>
      <c r="NQX67" s="170"/>
      <c r="NQY67" s="170"/>
      <c r="NQZ67" s="170"/>
      <c r="NRA67" s="170"/>
      <c r="NRB67" s="170"/>
      <c r="NRC67" s="170"/>
      <c r="NRD67" s="170"/>
      <c r="NRE67" s="170"/>
      <c r="NRF67" s="170"/>
      <c r="NRG67" s="170"/>
      <c r="NRH67" s="170"/>
      <c r="NRI67" s="170"/>
      <c r="NRJ67" s="170"/>
      <c r="NRK67" s="170"/>
      <c r="NRL67" s="170"/>
      <c r="NRM67" s="170"/>
      <c r="NRN67" s="170"/>
      <c r="NRO67" s="170"/>
      <c r="NRP67" s="170"/>
      <c r="NRQ67" s="170"/>
      <c r="NRR67" s="170"/>
      <c r="NRS67" s="170"/>
      <c r="NRT67" s="170"/>
      <c r="NRU67" s="170"/>
      <c r="NRV67" s="170"/>
      <c r="NRW67" s="170"/>
      <c r="NRX67" s="170"/>
      <c r="NRY67" s="170"/>
      <c r="NRZ67" s="170"/>
      <c r="NSA67" s="170"/>
      <c r="NSB67" s="170"/>
      <c r="NSC67" s="170"/>
      <c r="NSD67" s="170"/>
      <c r="NSE67" s="170"/>
      <c r="NSF67" s="170"/>
      <c r="NSG67" s="170"/>
      <c r="NSH67" s="170"/>
      <c r="NSI67" s="170"/>
      <c r="NSJ67" s="170"/>
      <c r="NSK67" s="170"/>
      <c r="NSL67" s="170"/>
      <c r="NSM67" s="170"/>
      <c r="NSN67" s="170"/>
      <c r="NSO67" s="170"/>
      <c r="NSP67" s="170"/>
      <c r="NSQ67" s="170"/>
      <c r="NSR67" s="170"/>
      <c r="NSS67" s="170"/>
      <c r="NST67" s="170"/>
      <c r="NSU67" s="170"/>
      <c r="NSV67" s="170"/>
      <c r="NSW67" s="170"/>
      <c r="NSX67" s="170"/>
      <c r="NSY67" s="170"/>
      <c r="NSZ67" s="170"/>
      <c r="NTA67" s="170"/>
      <c r="NTB67" s="170"/>
      <c r="NTC67" s="170"/>
      <c r="NTD67" s="170"/>
      <c r="NTE67" s="170"/>
      <c r="NTF67" s="170"/>
      <c r="NTG67" s="170"/>
      <c r="NTH67" s="170"/>
      <c r="NTI67" s="170"/>
      <c r="NTJ67" s="170"/>
      <c r="NTK67" s="170"/>
      <c r="NTL67" s="170"/>
      <c r="NTM67" s="170"/>
      <c r="NTN67" s="170"/>
      <c r="NTO67" s="170"/>
      <c r="NTP67" s="170"/>
      <c r="NTQ67" s="170"/>
      <c r="NTR67" s="170"/>
      <c r="NTS67" s="170"/>
      <c r="NTT67" s="170"/>
      <c r="NTU67" s="170"/>
      <c r="NTV67" s="170"/>
      <c r="NTW67" s="170"/>
      <c r="NTX67" s="170"/>
      <c r="NTY67" s="170"/>
      <c r="NTZ67" s="170"/>
      <c r="NUA67" s="170"/>
      <c r="NUB67" s="170"/>
      <c r="NUC67" s="170"/>
      <c r="NUD67" s="170"/>
      <c r="NUE67" s="170"/>
      <c r="NUF67" s="170"/>
      <c r="NUG67" s="170"/>
      <c r="NUH67" s="170"/>
      <c r="NUI67" s="170"/>
      <c r="NUJ67" s="170"/>
      <c r="NUK67" s="170"/>
      <c r="NUL67" s="170"/>
      <c r="NUM67" s="170"/>
      <c r="NUN67" s="170"/>
      <c r="NUO67" s="170"/>
      <c r="NUP67" s="170"/>
      <c r="NUQ67" s="170"/>
      <c r="NUR67" s="170"/>
      <c r="NUS67" s="170"/>
      <c r="NUT67" s="170"/>
      <c r="NUU67" s="170"/>
      <c r="NUV67" s="170"/>
      <c r="NUW67" s="170"/>
      <c r="NUX67" s="170"/>
      <c r="NUY67" s="170"/>
      <c r="NUZ67" s="170"/>
      <c r="NVA67" s="170"/>
      <c r="NVB67" s="170"/>
      <c r="NVC67" s="170"/>
      <c r="NVD67" s="170"/>
      <c r="NVE67" s="170"/>
      <c r="NVF67" s="170"/>
      <c r="NVG67" s="170"/>
      <c r="NVH67" s="170"/>
      <c r="NVI67" s="170"/>
      <c r="NVJ67" s="170"/>
      <c r="NVK67" s="170"/>
      <c r="NVL67" s="170"/>
      <c r="NVM67" s="170"/>
      <c r="NVN67" s="170"/>
      <c r="NVO67" s="170"/>
      <c r="NVP67" s="170"/>
      <c r="NVQ67" s="170"/>
      <c r="NVR67" s="170"/>
      <c r="NVS67" s="170"/>
      <c r="NVT67" s="170"/>
      <c r="NVU67" s="170"/>
      <c r="NVV67" s="170"/>
      <c r="NVW67" s="170"/>
      <c r="NVX67" s="170"/>
      <c r="NVY67" s="170"/>
      <c r="NVZ67" s="170"/>
      <c r="NWA67" s="170"/>
      <c r="NWB67" s="170"/>
      <c r="NWC67" s="170"/>
      <c r="NWD67" s="170"/>
      <c r="NWE67" s="170"/>
      <c r="NWF67" s="170"/>
      <c r="NWG67" s="170"/>
      <c r="NWH67" s="170"/>
      <c r="NWI67" s="170"/>
      <c r="NWJ67" s="170"/>
      <c r="NWK67" s="170"/>
      <c r="NWL67" s="170"/>
      <c r="NWM67" s="170"/>
      <c r="NWN67" s="170"/>
      <c r="NWO67" s="170"/>
      <c r="NWP67" s="170"/>
      <c r="NWQ67" s="170"/>
      <c r="NWR67" s="170"/>
      <c r="NWS67" s="170"/>
      <c r="NWT67" s="170"/>
      <c r="NWU67" s="170"/>
      <c r="NWV67" s="170"/>
      <c r="NWW67" s="170"/>
      <c r="NWX67" s="170"/>
      <c r="NWY67" s="170"/>
      <c r="NWZ67" s="170"/>
      <c r="NXA67" s="170"/>
      <c r="NXB67" s="170"/>
      <c r="NXC67" s="170"/>
      <c r="NXD67" s="170"/>
      <c r="NXE67" s="170"/>
      <c r="NXF67" s="170"/>
      <c r="NXG67" s="170"/>
      <c r="NXH67" s="170"/>
      <c r="NXI67" s="170"/>
      <c r="NXJ67" s="170"/>
      <c r="NXK67" s="170"/>
      <c r="NXL67" s="170"/>
      <c r="NXM67" s="170"/>
      <c r="NXN67" s="170"/>
      <c r="NXO67" s="170"/>
      <c r="NXP67" s="170"/>
      <c r="NXQ67" s="170"/>
      <c r="NXR67" s="170"/>
      <c r="NXS67" s="170"/>
      <c r="NXT67" s="170"/>
      <c r="NXU67" s="170"/>
      <c r="NXV67" s="170"/>
      <c r="NXW67" s="170"/>
      <c r="NXX67" s="170"/>
      <c r="NXY67" s="170"/>
      <c r="NXZ67" s="170"/>
      <c r="NYA67" s="170"/>
      <c r="NYB67" s="170"/>
      <c r="NYC67" s="170"/>
      <c r="NYD67" s="170"/>
      <c r="NYE67" s="170"/>
      <c r="NYF67" s="170"/>
      <c r="NYG67" s="170"/>
      <c r="NYH67" s="170"/>
      <c r="NYI67" s="170"/>
      <c r="NYJ67" s="170"/>
      <c r="NYK67" s="170"/>
      <c r="NYL67" s="170"/>
      <c r="NYM67" s="170"/>
      <c r="NYN67" s="170"/>
      <c r="NYO67" s="170"/>
      <c r="NYP67" s="170"/>
      <c r="NYQ67" s="170"/>
      <c r="NYR67" s="170"/>
      <c r="NYS67" s="170"/>
      <c r="NYT67" s="170"/>
      <c r="NYU67" s="170"/>
      <c r="NYV67" s="170"/>
      <c r="NYW67" s="170"/>
      <c r="NYX67" s="170"/>
      <c r="NYY67" s="170"/>
      <c r="NYZ67" s="170"/>
      <c r="NZA67" s="170"/>
      <c r="NZB67" s="170"/>
      <c r="NZC67" s="170"/>
      <c r="NZD67" s="170"/>
      <c r="NZE67" s="170"/>
      <c r="NZF67" s="170"/>
      <c r="NZG67" s="170"/>
      <c r="NZH67" s="170"/>
      <c r="NZI67" s="170"/>
      <c r="NZJ67" s="170"/>
      <c r="NZK67" s="170"/>
      <c r="NZL67" s="170"/>
      <c r="NZM67" s="170"/>
      <c r="NZN67" s="170"/>
      <c r="NZO67" s="170"/>
      <c r="NZP67" s="170"/>
      <c r="NZQ67" s="170"/>
      <c r="NZR67" s="170"/>
      <c r="NZS67" s="170"/>
      <c r="NZT67" s="170"/>
      <c r="NZU67" s="170"/>
      <c r="NZV67" s="170"/>
      <c r="NZW67" s="170"/>
      <c r="NZX67" s="170"/>
      <c r="NZY67" s="170"/>
      <c r="NZZ67" s="170"/>
      <c r="OAA67" s="170"/>
      <c r="OAB67" s="170"/>
      <c r="OAC67" s="170"/>
      <c r="OAD67" s="170"/>
      <c r="OAE67" s="170"/>
      <c r="OAF67" s="170"/>
      <c r="OAG67" s="170"/>
      <c r="OAH67" s="170"/>
      <c r="OAI67" s="170"/>
      <c r="OAJ67" s="170"/>
      <c r="OAK67" s="170"/>
      <c r="OAL67" s="170"/>
      <c r="OAM67" s="170"/>
      <c r="OAN67" s="170"/>
      <c r="OAO67" s="170"/>
      <c r="OAP67" s="170"/>
      <c r="OAQ67" s="170"/>
      <c r="OAR67" s="170"/>
      <c r="OAS67" s="170"/>
      <c r="OAT67" s="170"/>
      <c r="OAU67" s="170"/>
      <c r="OAV67" s="170"/>
      <c r="OAW67" s="170"/>
      <c r="OAX67" s="170"/>
      <c r="OAY67" s="170"/>
      <c r="OAZ67" s="170"/>
      <c r="OBA67" s="170"/>
      <c r="OBB67" s="170"/>
      <c r="OBC67" s="170"/>
      <c r="OBD67" s="170"/>
      <c r="OBE67" s="170"/>
      <c r="OBF67" s="170"/>
      <c r="OBG67" s="170"/>
      <c r="OBH67" s="170"/>
      <c r="OBI67" s="170"/>
      <c r="OBJ67" s="170"/>
      <c r="OBK67" s="170"/>
      <c r="OBL67" s="170"/>
      <c r="OBM67" s="170"/>
      <c r="OBN67" s="170"/>
      <c r="OBO67" s="170"/>
      <c r="OBP67" s="170"/>
      <c r="OBQ67" s="170"/>
      <c r="OBR67" s="170"/>
      <c r="OBS67" s="170"/>
      <c r="OBT67" s="170"/>
      <c r="OBU67" s="170"/>
      <c r="OBV67" s="170"/>
      <c r="OBW67" s="170"/>
      <c r="OBX67" s="170"/>
      <c r="OBY67" s="170"/>
      <c r="OBZ67" s="170"/>
      <c r="OCA67" s="170"/>
      <c r="OCB67" s="170"/>
      <c r="OCC67" s="170"/>
      <c r="OCD67" s="170"/>
      <c r="OCE67" s="170"/>
      <c r="OCF67" s="170"/>
      <c r="OCG67" s="170"/>
      <c r="OCH67" s="170"/>
      <c r="OCI67" s="170"/>
      <c r="OCJ67" s="170"/>
      <c r="OCK67" s="170"/>
      <c r="OCL67" s="170"/>
      <c r="OCM67" s="170"/>
      <c r="OCN67" s="170"/>
      <c r="OCO67" s="170"/>
      <c r="OCP67" s="170"/>
      <c r="OCQ67" s="170"/>
      <c r="OCR67" s="170"/>
      <c r="OCS67" s="170"/>
      <c r="OCT67" s="170"/>
      <c r="OCU67" s="170"/>
      <c r="OCV67" s="170"/>
      <c r="OCW67" s="170"/>
      <c r="OCX67" s="170"/>
      <c r="OCY67" s="170"/>
      <c r="OCZ67" s="170"/>
      <c r="ODA67" s="170"/>
      <c r="ODB67" s="170"/>
      <c r="ODC67" s="170"/>
      <c r="ODD67" s="170"/>
      <c r="ODE67" s="170"/>
      <c r="ODF67" s="170"/>
      <c r="ODG67" s="170"/>
      <c r="ODH67" s="170"/>
      <c r="ODI67" s="170"/>
      <c r="ODJ67" s="170"/>
      <c r="ODK67" s="170"/>
      <c r="ODL67" s="170"/>
      <c r="ODM67" s="170"/>
      <c r="ODN67" s="170"/>
      <c r="ODO67" s="170"/>
      <c r="ODP67" s="170"/>
      <c r="ODQ67" s="170"/>
      <c r="ODR67" s="170"/>
      <c r="ODS67" s="170"/>
      <c r="ODT67" s="170"/>
      <c r="ODU67" s="170"/>
      <c r="ODV67" s="170"/>
      <c r="ODW67" s="170"/>
      <c r="ODX67" s="170"/>
      <c r="ODY67" s="170"/>
      <c r="ODZ67" s="170"/>
      <c r="OEA67" s="170"/>
      <c r="OEB67" s="170"/>
      <c r="OEC67" s="170"/>
      <c r="OED67" s="170"/>
      <c r="OEE67" s="170"/>
      <c r="OEF67" s="170"/>
      <c r="OEG67" s="170"/>
      <c r="OEH67" s="170"/>
      <c r="OEI67" s="170"/>
      <c r="OEJ67" s="170"/>
      <c r="OEK67" s="170"/>
      <c r="OEL67" s="170"/>
      <c r="OEM67" s="170"/>
      <c r="OEN67" s="170"/>
      <c r="OEO67" s="170"/>
      <c r="OEP67" s="170"/>
      <c r="OEQ67" s="170"/>
      <c r="OER67" s="170"/>
      <c r="OES67" s="170"/>
      <c r="OET67" s="170"/>
      <c r="OEU67" s="170"/>
      <c r="OEV67" s="170"/>
      <c r="OEW67" s="170"/>
      <c r="OEX67" s="170"/>
      <c r="OEY67" s="170"/>
      <c r="OEZ67" s="170"/>
      <c r="OFA67" s="170"/>
      <c r="OFB67" s="170"/>
      <c r="OFC67" s="170"/>
      <c r="OFD67" s="170"/>
      <c r="OFE67" s="170"/>
      <c r="OFF67" s="170"/>
      <c r="OFG67" s="170"/>
      <c r="OFH67" s="170"/>
      <c r="OFI67" s="170"/>
      <c r="OFJ67" s="170"/>
      <c r="OFK67" s="170"/>
      <c r="OFL67" s="170"/>
      <c r="OFM67" s="170"/>
      <c r="OFN67" s="170"/>
      <c r="OFO67" s="170"/>
      <c r="OFP67" s="170"/>
      <c r="OFQ67" s="170"/>
      <c r="OFR67" s="170"/>
      <c r="OFS67" s="170"/>
      <c r="OFT67" s="170"/>
      <c r="OFU67" s="170"/>
      <c r="OFV67" s="170"/>
      <c r="OFW67" s="170"/>
      <c r="OFX67" s="170"/>
      <c r="OFY67" s="170"/>
      <c r="OFZ67" s="170"/>
      <c r="OGA67" s="170"/>
      <c r="OGB67" s="170"/>
      <c r="OGC67" s="170"/>
      <c r="OGD67" s="170"/>
      <c r="OGE67" s="170"/>
      <c r="OGF67" s="170"/>
      <c r="OGG67" s="170"/>
      <c r="OGH67" s="170"/>
      <c r="OGI67" s="170"/>
      <c r="OGJ67" s="170"/>
      <c r="OGK67" s="170"/>
      <c r="OGL67" s="170"/>
      <c r="OGM67" s="170"/>
      <c r="OGN67" s="170"/>
      <c r="OGO67" s="170"/>
      <c r="OGP67" s="170"/>
      <c r="OGQ67" s="170"/>
      <c r="OGR67" s="170"/>
      <c r="OGS67" s="170"/>
      <c r="OGT67" s="170"/>
      <c r="OGU67" s="170"/>
      <c r="OGV67" s="170"/>
      <c r="OGW67" s="170"/>
      <c r="OGX67" s="170"/>
      <c r="OGY67" s="170"/>
      <c r="OGZ67" s="170"/>
      <c r="OHA67" s="170"/>
      <c r="OHB67" s="170"/>
      <c r="OHC67" s="170"/>
      <c r="OHD67" s="170"/>
      <c r="OHE67" s="170"/>
      <c r="OHF67" s="170"/>
      <c r="OHG67" s="170"/>
      <c r="OHH67" s="170"/>
      <c r="OHI67" s="170"/>
      <c r="OHJ67" s="170"/>
      <c r="OHK67" s="170"/>
      <c r="OHL67" s="170"/>
      <c r="OHM67" s="170"/>
      <c r="OHN67" s="170"/>
      <c r="OHO67" s="170"/>
      <c r="OHP67" s="170"/>
      <c r="OHQ67" s="170"/>
      <c r="OHR67" s="170"/>
      <c r="OHS67" s="170"/>
      <c r="OHT67" s="170"/>
      <c r="OHU67" s="170"/>
      <c r="OHV67" s="170"/>
      <c r="OHW67" s="170"/>
      <c r="OHX67" s="170"/>
      <c r="OHY67" s="170"/>
      <c r="OHZ67" s="170"/>
      <c r="OIA67" s="170"/>
      <c r="OIB67" s="170"/>
      <c r="OIC67" s="170"/>
      <c r="OID67" s="170"/>
      <c r="OIE67" s="170"/>
      <c r="OIF67" s="170"/>
      <c r="OIG67" s="170"/>
      <c r="OIH67" s="170"/>
      <c r="OII67" s="170"/>
      <c r="OIJ67" s="170"/>
      <c r="OIK67" s="170"/>
      <c r="OIL67" s="170"/>
      <c r="OIM67" s="170"/>
      <c r="OIN67" s="170"/>
      <c r="OIO67" s="170"/>
      <c r="OIP67" s="170"/>
      <c r="OIQ67" s="170"/>
      <c r="OIR67" s="170"/>
      <c r="OIS67" s="170"/>
      <c r="OIT67" s="170"/>
      <c r="OIU67" s="170"/>
      <c r="OIV67" s="170"/>
      <c r="OIW67" s="170"/>
      <c r="OIX67" s="170"/>
      <c r="OIY67" s="170"/>
      <c r="OIZ67" s="170"/>
      <c r="OJA67" s="170"/>
      <c r="OJB67" s="170"/>
      <c r="OJC67" s="170"/>
      <c r="OJD67" s="170"/>
      <c r="OJE67" s="170"/>
      <c r="OJF67" s="170"/>
      <c r="OJG67" s="170"/>
      <c r="OJH67" s="170"/>
      <c r="OJI67" s="170"/>
      <c r="OJJ67" s="170"/>
      <c r="OJK67" s="170"/>
      <c r="OJL67" s="170"/>
      <c r="OJM67" s="170"/>
      <c r="OJN67" s="170"/>
      <c r="OJO67" s="170"/>
      <c r="OJP67" s="170"/>
      <c r="OJQ67" s="170"/>
      <c r="OJR67" s="170"/>
      <c r="OJS67" s="170"/>
      <c r="OJT67" s="170"/>
      <c r="OJU67" s="170"/>
      <c r="OJV67" s="170"/>
      <c r="OJW67" s="170"/>
      <c r="OJX67" s="170"/>
      <c r="OJY67" s="170"/>
      <c r="OJZ67" s="170"/>
      <c r="OKA67" s="170"/>
      <c r="OKB67" s="170"/>
      <c r="OKC67" s="170"/>
      <c r="OKD67" s="170"/>
      <c r="OKE67" s="170"/>
      <c r="OKF67" s="170"/>
      <c r="OKG67" s="170"/>
      <c r="OKH67" s="170"/>
      <c r="OKI67" s="170"/>
      <c r="OKJ67" s="170"/>
      <c r="OKK67" s="170"/>
      <c r="OKL67" s="170"/>
      <c r="OKM67" s="170"/>
      <c r="OKN67" s="170"/>
      <c r="OKO67" s="170"/>
      <c r="OKP67" s="170"/>
      <c r="OKQ67" s="170"/>
      <c r="OKR67" s="170"/>
      <c r="OKS67" s="170"/>
      <c r="OKT67" s="170"/>
      <c r="OKU67" s="170"/>
      <c r="OKV67" s="170"/>
      <c r="OKW67" s="170"/>
      <c r="OKX67" s="170"/>
      <c r="OKY67" s="170"/>
      <c r="OKZ67" s="170"/>
      <c r="OLA67" s="170"/>
      <c r="OLB67" s="170"/>
      <c r="OLC67" s="170"/>
      <c r="OLD67" s="170"/>
      <c r="OLE67" s="170"/>
      <c r="OLF67" s="170"/>
      <c r="OLG67" s="170"/>
      <c r="OLH67" s="170"/>
      <c r="OLI67" s="170"/>
      <c r="OLJ67" s="170"/>
      <c r="OLK67" s="170"/>
      <c r="OLL67" s="170"/>
      <c r="OLM67" s="170"/>
      <c r="OLN67" s="170"/>
      <c r="OLO67" s="170"/>
      <c r="OLP67" s="170"/>
      <c r="OLQ67" s="170"/>
      <c r="OLR67" s="170"/>
      <c r="OLS67" s="170"/>
      <c r="OLT67" s="170"/>
      <c r="OLU67" s="170"/>
      <c r="OLV67" s="170"/>
      <c r="OLW67" s="170"/>
      <c r="OLX67" s="170"/>
      <c r="OLY67" s="170"/>
      <c r="OLZ67" s="170"/>
      <c r="OMA67" s="170"/>
      <c r="OMB67" s="170"/>
      <c r="OMC67" s="170"/>
      <c r="OMD67" s="170"/>
      <c r="OME67" s="170"/>
      <c r="OMF67" s="170"/>
      <c r="OMG67" s="170"/>
      <c r="OMH67" s="170"/>
      <c r="OMI67" s="170"/>
      <c r="OMJ67" s="170"/>
      <c r="OMK67" s="170"/>
      <c r="OML67" s="170"/>
      <c r="OMM67" s="170"/>
      <c r="OMN67" s="170"/>
      <c r="OMO67" s="170"/>
      <c r="OMP67" s="170"/>
      <c r="OMQ67" s="170"/>
      <c r="OMR67" s="170"/>
      <c r="OMS67" s="170"/>
      <c r="OMT67" s="170"/>
      <c r="OMU67" s="170"/>
      <c r="OMV67" s="170"/>
      <c r="OMW67" s="170"/>
      <c r="OMX67" s="170"/>
      <c r="OMY67" s="170"/>
      <c r="OMZ67" s="170"/>
      <c r="ONA67" s="170"/>
      <c r="ONB67" s="170"/>
      <c r="ONC67" s="170"/>
      <c r="OND67" s="170"/>
      <c r="ONE67" s="170"/>
      <c r="ONF67" s="170"/>
      <c r="ONG67" s="170"/>
      <c r="ONH67" s="170"/>
      <c r="ONI67" s="170"/>
      <c r="ONJ67" s="170"/>
      <c r="ONK67" s="170"/>
      <c r="ONL67" s="170"/>
      <c r="ONM67" s="170"/>
      <c r="ONN67" s="170"/>
      <c r="ONO67" s="170"/>
      <c r="ONP67" s="170"/>
      <c r="ONQ67" s="170"/>
      <c r="ONR67" s="170"/>
      <c r="ONS67" s="170"/>
      <c r="ONT67" s="170"/>
      <c r="ONU67" s="170"/>
      <c r="ONV67" s="170"/>
      <c r="ONW67" s="170"/>
      <c r="ONX67" s="170"/>
      <c r="ONY67" s="170"/>
      <c r="ONZ67" s="170"/>
      <c r="OOA67" s="170"/>
      <c r="OOB67" s="170"/>
      <c r="OOC67" s="170"/>
      <c r="OOD67" s="170"/>
      <c r="OOE67" s="170"/>
      <c r="OOF67" s="170"/>
      <c r="OOG67" s="170"/>
      <c r="OOH67" s="170"/>
      <c r="OOI67" s="170"/>
      <c r="OOJ67" s="170"/>
      <c r="OOK67" s="170"/>
      <c r="OOL67" s="170"/>
      <c r="OOM67" s="170"/>
      <c r="OON67" s="170"/>
      <c r="OOO67" s="170"/>
      <c r="OOP67" s="170"/>
      <c r="OOQ67" s="170"/>
      <c r="OOR67" s="170"/>
      <c r="OOS67" s="170"/>
      <c r="OOT67" s="170"/>
      <c r="OOU67" s="170"/>
      <c r="OOV67" s="170"/>
      <c r="OOW67" s="170"/>
      <c r="OOX67" s="170"/>
      <c r="OOY67" s="170"/>
      <c r="OOZ67" s="170"/>
      <c r="OPA67" s="170"/>
      <c r="OPB67" s="170"/>
      <c r="OPC67" s="170"/>
      <c r="OPD67" s="170"/>
      <c r="OPE67" s="170"/>
      <c r="OPF67" s="170"/>
      <c r="OPG67" s="170"/>
      <c r="OPH67" s="170"/>
      <c r="OPI67" s="170"/>
      <c r="OPJ67" s="170"/>
      <c r="OPK67" s="170"/>
      <c r="OPL67" s="170"/>
      <c r="OPM67" s="170"/>
      <c r="OPN67" s="170"/>
      <c r="OPO67" s="170"/>
      <c r="OPP67" s="170"/>
      <c r="OPQ67" s="170"/>
      <c r="OPR67" s="170"/>
      <c r="OPS67" s="170"/>
      <c r="OPT67" s="170"/>
      <c r="OPU67" s="170"/>
      <c r="OPV67" s="170"/>
      <c r="OPW67" s="170"/>
      <c r="OPX67" s="170"/>
      <c r="OPY67" s="170"/>
      <c r="OPZ67" s="170"/>
      <c r="OQA67" s="170"/>
      <c r="OQB67" s="170"/>
      <c r="OQC67" s="170"/>
      <c r="OQD67" s="170"/>
      <c r="OQE67" s="170"/>
      <c r="OQF67" s="170"/>
      <c r="OQG67" s="170"/>
      <c r="OQH67" s="170"/>
      <c r="OQI67" s="170"/>
      <c r="OQJ67" s="170"/>
      <c r="OQK67" s="170"/>
      <c r="OQL67" s="170"/>
      <c r="OQM67" s="170"/>
      <c r="OQN67" s="170"/>
      <c r="OQO67" s="170"/>
      <c r="OQP67" s="170"/>
      <c r="OQQ67" s="170"/>
      <c r="OQR67" s="170"/>
      <c r="OQS67" s="170"/>
      <c r="OQT67" s="170"/>
      <c r="OQU67" s="170"/>
      <c r="OQV67" s="170"/>
      <c r="OQW67" s="170"/>
      <c r="OQX67" s="170"/>
      <c r="OQY67" s="170"/>
      <c r="OQZ67" s="170"/>
      <c r="ORA67" s="170"/>
      <c r="ORB67" s="170"/>
      <c r="ORC67" s="170"/>
      <c r="ORD67" s="170"/>
      <c r="ORE67" s="170"/>
      <c r="ORF67" s="170"/>
      <c r="ORG67" s="170"/>
      <c r="ORH67" s="170"/>
      <c r="ORI67" s="170"/>
      <c r="ORJ67" s="170"/>
      <c r="ORK67" s="170"/>
      <c r="ORL67" s="170"/>
      <c r="ORM67" s="170"/>
      <c r="ORN67" s="170"/>
      <c r="ORO67" s="170"/>
      <c r="ORP67" s="170"/>
      <c r="ORQ67" s="170"/>
      <c r="ORR67" s="170"/>
      <c r="ORS67" s="170"/>
      <c r="ORT67" s="170"/>
      <c r="ORU67" s="170"/>
      <c r="ORV67" s="170"/>
      <c r="ORW67" s="170"/>
      <c r="ORX67" s="170"/>
      <c r="ORY67" s="170"/>
      <c r="ORZ67" s="170"/>
      <c r="OSA67" s="170"/>
      <c r="OSB67" s="170"/>
      <c r="OSC67" s="170"/>
      <c r="OSD67" s="170"/>
      <c r="OSE67" s="170"/>
      <c r="OSF67" s="170"/>
      <c r="OSG67" s="170"/>
      <c r="OSH67" s="170"/>
      <c r="OSI67" s="170"/>
      <c r="OSJ67" s="170"/>
      <c r="OSK67" s="170"/>
      <c r="OSL67" s="170"/>
      <c r="OSM67" s="170"/>
      <c r="OSN67" s="170"/>
      <c r="OSO67" s="170"/>
      <c r="OSP67" s="170"/>
      <c r="OSQ67" s="170"/>
      <c r="OSR67" s="170"/>
      <c r="OSS67" s="170"/>
      <c r="OST67" s="170"/>
      <c r="OSU67" s="170"/>
      <c r="OSV67" s="170"/>
      <c r="OSW67" s="170"/>
      <c r="OSX67" s="170"/>
      <c r="OSY67" s="170"/>
      <c r="OSZ67" s="170"/>
      <c r="OTA67" s="170"/>
      <c r="OTB67" s="170"/>
      <c r="OTC67" s="170"/>
      <c r="OTD67" s="170"/>
      <c r="OTE67" s="170"/>
      <c r="OTF67" s="170"/>
      <c r="OTG67" s="170"/>
      <c r="OTH67" s="170"/>
      <c r="OTI67" s="170"/>
      <c r="OTJ67" s="170"/>
      <c r="OTK67" s="170"/>
      <c r="OTL67" s="170"/>
      <c r="OTM67" s="170"/>
      <c r="OTN67" s="170"/>
      <c r="OTO67" s="170"/>
      <c r="OTP67" s="170"/>
      <c r="OTQ67" s="170"/>
      <c r="OTR67" s="170"/>
      <c r="OTS67" s="170"/>
      <c r="OTT67" s="170"/>
      <c r="OTU67" s="170"/>
      <c r="OTV67" s="170"/>
      <c r="OTW67" s="170"/>
      <c r="OTX67" s="170"/>
      <c r="OTY67" s="170"/>
      <c r="OTZ67" s="170"/>
      <c r="OUA67" s="170"/>
      <c r="OUB67" s="170"/>
      <c r="OUC67" s="170"/>
      <c r="OUD67" s="170"/>
      <c r="OUE67" s="170"/>
      <c r="OUF67" s="170"/>
      <c r="OUG67" s="170"/>
      <c r="OUH67" s="170"/>
      <c r="OUI67" s="170"/>
      <c r="OUJ67" s="170"/>
      <c r="OUK67" s="170"/>
      <c r="OUL67" s="170"/>
      <c r="OUM67" s="170"/>
      <c r="OUN67" s="170"/>
      <c r="OUO67" s="170"/>
      <c r="OUP67" s="170"/>
      <c r="OUQ67" s="170"/>
      <c r="OUR67" s="170"/>
      <c r="OUS67" s="170"/>
      <c r="OUT67" s="170"/>
      <c r="OUU67" s="170"/>
      <c r="OUV67" s="170"/>
      <c r="OUW67" s="170"/>
      <c r="OUX67" s="170"/>
      <c r="OUY67" s="170"/>
      <c r="OUZ67" s="170"/>
      <c r="OVA67" s="170"/>
      <c r="OVB67" s="170"/>
      <c r="OVC67" s="170"/>
      <c r="OVD67" s="170"/>
      <c r="OVE67" s="170"/>
      <c r="OVF67" s="170"/>
      <c r="OVG67" s="170"/>
      <c r="OVH67" s="170"/>
      <c r="OVI67" s="170"/>
      <c r="OVJ67" s="170"/>
      <c r="OVK67" s="170"/>
      <c r="OVL67" s="170"/>
      <c r="OVM67" s="170"/>
      <c r="OVN67" s="170"/>
      <c r="OVO67" s="170"/>
      <c r="OVP67" s="170"/>
      <c r="OVQ67" s="170"/>
      <c r="OVR67" s="170"/>
      <c r="OVS67" s="170"/>
      <c r="OVT67" s="170"/>
      <c r="OVU67" s="170"/>
      <c r="OVV67" s="170"/>
      <c r="OVW67" s="170"/>
      <c r="OVX67" s="170"/>
      <c r="OVY67" s="170"/>
      <c r="OVZ67" s="170"/>
      <c r="OWA67" s="170"/>
      <c r="OWB67" s="170"/>
      <c r="OWC67" s="170"/>
      <c r="OWD67" s="170"/>
      <c r="OWE67" s="170"/>
      <c r="OWF67" s="170"/>
      <c r="OWG67" s="170"/>
      <c r="OWH67" s="170"/>
      <c r="OWI67" s="170"/>
      <c r="OWJ67" s="170"/>
      <c r="OWK67" s="170"/>
      <c r="OWL67" s="170"/>
      <c r="OWM67" s="170"/>
      <c r="OWN67" s="170"/>
      <c r="OWO67" s="170"/>
      <c r="OWP67" s="170"/>
      <c r="OWQ67" s="170"/>
      <c r="OWR67" s="170"/>
      <c r="OWS67" s="170"/>
      <c r="OWT67" s="170"/>
      <c r="OWU67" s="170"/>
      <c r="OWV67" s="170"/>
      <c r="OWW67" s="170"/>
      <c r="OWX67" s="170"/>
      <c r="OWY67" s="170"/>
      <c r="OWZ67" s="170"/>
      <c r="OXA67" s="170"/>
      <c r="OXB67" s="170"/>
      <c r="OXC67" s="170"/>
      <c r="OXD67" s="170"/>
      <c r="OXE67" s="170"/>
      <c r="OXF67" s="170"/>
      <c r="OXG67" s="170"/>
      <c r="OXH67" s="170"/>
      <c r="OXI67" s="170"/>
      <c r="OXJ67" s="170"/>
      <c r="OXK67" s="170"/>
      <c r="OXL67" s="170"/>
      <c r="OXM67" s="170"/>
      <c r="OXN67" s="170"/>
      <c r="OXO67" s="170"/>
      <c r="OXP67" s="170"/>
      <c r="OXQ67" s="170"/>
      <c r="OXR67" s="170"/>
      <c r="OXS67" s="170"/>
      <c r="OXT67" s="170"/>
      <c r="OXU67" s="170"/>
      <c r="OXV67" s="170"/>
      <c r="OXW67" s="170"/>
      <c r="OXX67" s="170"/>
      <c r="OXY67" s="170"/>
      <c r="OXZ67" s="170"/>
      <c r="OYA67" s="170"/>
      <c r="OYB67" s="170"/>
      <c r="OYC67" s="170"/>
      <c r="OYD67" s="170"/>
      <c r="OYE67" s="170"/>
      <c r="OYF67" s="170"/>
      <c r="OYG67" s="170"/>
      <c r="OYH67" s="170"/>
      <c r="OYI67" s="170"/>
      <c r="OYJ67" s="170"/>
      <c r="OYK67" s="170"/>
      <c r="OYL67" s="170"/>
      <c r="OYM67" s="170"/>
      <c r="OYN67" s="170"/>
      <c r="OYO67" s="170"/>
      <c r="OYP67" s="170"/>
      <c r="OYQ67" s="170"/>
      <c r="OYR67" s="170"/>
      <c r="OYS67" s="170"/>
      <c r="OYT67" s="170"/>
      <c r="OYU67" s="170"/>
      <c r="OYV67" s="170"/>
      <c r="OYW67" s="170"/>
      <c r="OYX67" s="170"/>
      <c r="OYY67" s="170"/>
      <c r="OYZ67" s="170"/>
      <c r="OZA67" s="170"/>
      <c r="OZB67" s="170"/>
      <c r="OZC67" s="170"/>
      <c r="OZD67" s="170"/>
      <c r="OZE67" s="170"/>
      <c r="OZF67" s="170"/>
      <c r="OZG67" s="170"/>
      <c r="OZH67" s="170"/>
      <c r="OZI67" s="170"/>
      <c r="OZJ67" s="170"/>
      <c r="OZK67" s="170"/>
      <c r="OZL67" s="170"/>
      <c r="OZM67" s="170"/>
      <c r="OZN67" s="170"/>
      <c r="OZO67" s="170"/>
      <c r="OZP67" s="170"/>
      <c r="OZQ67" s="170"/>
      <c r="OZR67" s="170"/>
      <c r="OZS67" s="170"/>
      <c r="OZT67" s="170"/>
      <c r="OZU67" s="170"/>
      <c r="OZV67" s="170"/>
      <c r="OZW67" s="170"/>
      <c r="OZX67" s="170"/>
      <c r="OZY67" s="170"/>
      <c r="OZZ67" s="170"/>
      <c r="PAA67" s="170"/>
      <c r="PAB67" s="170"/>
      <c r="PAC67" s="170"/>
      <c r="PAD67" s="170"/>
      <c r="PAE67" s="170"/>
      <c r="PAF67" s="170"/>
      <c r="PAG67" s="170"/>
      <c r="PAH67" s="170"/>
      <c r="PAI67" s="170"/>
      <c r="PAJ67" s="170"/>
      <c r="PAK67" s="170"/>
      <c r="PAL67" s="170"/>
      <c r="PAM67" s="170"/>
      <c r="PAN67" s="170"/>
      <c r="PAO67" s="170"/>
      <c r="PAP67" s="170"/>
      <c r="PAQ67" s="170"/>
      <c r="PAR67" s="170"/>
      <c r="PAS67" s="170"/>
      <c r="PAT67" s="170"/>
      <c r="PAU67" s="170"/>
      <c r="PAV67" s="170"/>
      <c r="PAW67" s="170"/>
      <c r="PAX67" s="170"/>
      <c r="PAY67" s="170"/>
      <c r="PAZ67" s="170"/>
      <c r="PBA67" s="170"/>
      <c r="PBB67" s="170"/>
      <c r="PBC67" s="170"/>
      <c r="PBD67" s="170"/>
      <c r="PBE67" s="170"/>
      <c r="PBF67" s="170"/>
      <c r="PBG67" s="170"/>
      <c r="PBH67" s="170"/>
      <c r="PBI67" s="170"/>
      <c r="PBJ67" s="170"/>
      <c r="PBK67" s="170"/>
      <c r="PBL67" s="170"/>
      <c r="PBM67" s="170"/>
      <c r="PBN67" s="170"/>
      <c r="PBO67" s="170"/>
      <c r="PBP67" s="170"/>
      <c r="PBQ67" s="170"/>
      <c r="PBR67" s="170"/>
      <c r="PBS67" s="170"/>
      <c r="PBT67" s="170"/>
      <c r="PBU67" s="170"/>
      <c r="PBV67" s="170"/>
      <c r="PBW67" s="170"/>
      <c r="PBX67" s="170"/>
      <c r="PBY67" s="170"/>
      <c r="PBZ67" s="170"/>
      <c r="PCA67" s="170"/>
      <c r="PCB67" s="170"/>
      <c r="PCC67" s="170"/>
      <c r="PCD67" s="170"/>
      <c r="PCE67" s="170"/>
      <c r="PCF67" s="170"/>
      <c r="PCG67" s="170"/>
      <c r="PCH67" s="170"/>
      <c r="PCI67" s="170"/>
      <c r="PCJ67" s="170"/>
      <c r="PCK67" s="170"/>
      <c r="PCL67" s="170"/>
      <c r="PCM67" s="170"/>
      <c r="PCN67" s="170"/>
      <c r="PCO67" s="170"/>
      <c r="PCP67" s="170"/>
      <c r="PCQ67" s="170"/>
      <c r="PCR67" s="170"/>
      <c r="PCS67" s="170"/>
      <c r="PCT67" s="170"/>
      <c r="PCU67" s="170"/>
      <c r="PCV67" s="170"/>
      <c r="PCW67" s="170"/>
      <c r="PCX67" s="170"/>
      <c r="PCY67" s="170"/>
      <c r="PCZ67" s="170"/>
      <c r="PDA67" s="170"/>
      <c r="PDB67" s="170"/>
      <c r="PDC67" s="170"/>
      <c r="PDD67" s="170"/>
      <c r="PDE67" s="170"/>
      <c r="PDF67" s="170"/>
      <c r="PDG67" s="170"/>
      <c r="PDH67" s="170"/>
      <c r="PDI67" s="170"/>
      <c r="PDJ67" s="170"/>
      <c r="PDK67" s="170"/>
      <c r="PDL67" s="170"/>
      <c r="PDM67" s="170"/>
      <c r="PDN67" s="170"/>
      <c r="PDO67" s="170"/>
      <c r="PDP67" s="170"/>
      <c r="PDQ67" s="170"/>
      <c r="PDR67" s="170"/>
      <c r="PDS67" s="170"/>
      <c r="PDT67" s="170"/>
      <c r="PDU67" s="170"/>
      <c r="PDV67" s="170"/>
      <c r="PDW67" s="170"/>
      <c r="PDX67" s="170"/>
      <c r="PDY67" s="170"/>
      <c r="PDZ67" s="170"/>
      <c r="PEA67" s="170"/>
      <c r="PEB67" s="170"/>
      <c r="PEC67" s="170"/>
      <c r="PED67" s="170"/>
      <c r="PEE67" s="170"/>
      <c r="PEF67" s="170"/>
      <c r="PEG67" s="170"/>
      <c r="PEH67" s="170"/>
      <c r="PEI67" s="170"/>
      <c r="PEJ67" s="170"/>
      <c r="PEK67" s="170"/>
      <c r="PEL67" s="170"/>
      <c r="PEM67" s="170"/>
      <c r="PEN67" s="170"/>
      <c r="PEO67" s="170"/>
      <c r="PEP67" s="170"/>
      <c r="PEQ67" s="170"/>
      <c r="PER67" s="170"/>
      <c r="PES67" s="170"/>
      <c r="PET67" s="170"/>
      <c r="PEU67" s="170"/>
      <c r="PEV67" s="170"/>
      <c r="PEW67" s="170"/>
      <c r="PEX67" s="170"/>
      <c r="PEY67" s="170"/>
      <c r="PEZ67" s="170"/>
      <c r="PFA67" s="170"/>
      <c r="PFB67" s="170"/>
      <c r="PFC67" s="170"/>
      <c r="PFD67" s="170"/>
      <c r="PFE67" s="170"/>
      <c r="PFF67" s="170"/>
      <c r="PFG67" s="170"/>
      <c r="PFH67" s="170"/>
      <c r="PFI67" s="170"/>
      <c r="PFJ67" s="170"/>
      <c r="PFK67" s="170"/>
      <c r="PFL67" s="170"/>
      <c r="PFM67" s="170"/>
      <c r="PFN67" s="170"/>
      <c r="PFO67" s="170"/>
      <c r="PFP67" s="170"/>
      <c r="PFQ67" s="170"/>
      <c r="PFR67" s="170"/>
      <c r="PFS67" s="170"/>
      <c r="PFT67" s="170"/>
      <c r="PFU67" s="170"/>
      <c r="PFV67" s="170"/>
      <c r="PFW67" s="170"/>
      <c r="PFX67" s="170"/>
      <c r="PFY67" s="170"/>
      <c r="PFZ67" s="170"/>
      <c r="PGA67" s="170"/>
      <c r="PGB67" s="170"/>
      <c r="PGC67" s="170"/>
      <c r="PGD67" s="170"/>
      <c r="PGE67" s="170"/>
      <c r="PGF67" s="170"/>
      <c r="PGG67" s="170"/>
      <c r="PGH67" s="170"/>
      <c r="PGI67" s="170"/>
      <c r="PGJ67" s="170"/>
      <c r="PGK67" s="170"/>
      <c r="PGL67" s="170"/>
      <c r="PGM67" s="170"/>
      <c r="PGN67" s="170"/>
      <c r="PGO67" s="170"/>
      <c r="PGP67" s="170"/>
      <c r="PGQ67" s="170"/>
      <c r="PGR67" s="170"/>
      <c r="PGS67" s="170"/>
      <c r="PGT67" s="170"/>
      <c r="PGU67" s="170"/>
      <c r="PGV67" s="170"/>
      <c r="PGW67" s="170"/>
      <c r="PGX67" s="170"/>
      <c r="PGY67" s="170"/>
      <c r="PGZ67" s="170"/>
      <c r="PHA67" s="170"/>
      <c r="PHB67" s="170"/>
      <c r="PHC67" s="170"/>
      <c r="PHD67" s="170"/>
      <c r="PHE67" s="170"/>
      <c r="PHF67" s="170"/>
      <c r="PHG67" s="170"/>
      <c r="PHH67" s="170"/>
      <c r="PHI67" s="170"/>
      <c r="PHJ67" s="170"/>
      <c r="PHK67" s="170"/>
      <c r="PHL67" s="170"/>
      <c r="PHM67" s="170"/>
      <c r="PHN67" s="170"/>
      <c r="PHO67" s="170"/>
      <c r="PHP67" s="170"/>
      <c r="PHQ67" s="170"/>
      <c r="PHR67" s="170"/>
      <c r="PHS67" s="170"/>
      <c r="PHT67" s="170"/>
      <c r="PHU67" s="170"/>
      <c r="PHV67" s="170"/>
      <c r="PHW67" s="170"/>
      <c r="PHX67" s="170"/>
      <c r="PHY67" s="170"/>
      <c r="PHZ67" s="170"/>
      <c r="PIA67" s="170"/>
      <c r="PIB67" s="170"/>
      <c r="PIC67" s="170"/>
      <c r="PID67" s="170"/>
      <c r="PIE67" s="170"/>
      <c r="PIF67" s="170"/>
      <c r="PIG67" s="170"/>
      <c r="PIH67" s="170"/>
      <c r="PII67" s="170"/>
      <c r="PIJ67" s="170"/>
      <c r="PIK67" s="170"/>
      <c r="PIL67" s="170"/>
      <c r="PIM67" s="170"/>
      <c r="PIN67" s="170"/>
      <c r="PIO67" s="170"/>
      <c r="PIP67" s="170"/>
      <c r="PIQ67" s="170"/>
      <c r="PIR67" s="170"/>
      <c r="PIS67" s="170"/>
      <c r="PIT67" s="170"/>
      <c r="PIU67" s="170"/>
      <c r="PIV67" s="170"/>
      <c r="PIW67" s="170"/>
      <c r="PIX67" s="170"/>
      <c r="PIY67" s="170"/>
      <c r="PIZ67" s="170"/>
      <c r="PJA67" s="170"/>
      <c r="PJB67" s="170"/>
      <c r="PJC67" s="170"/>
      <c r="PJD67" s="170"/>
      <c r="PJE67" s="170"/>
      <c r="PJF67" s="170"/>
      <c r="PJG67" s="170"/>
      <c r="PJH67" s="170"/>
      <c r="PJI67" s="170"/>
      <c r="PJJ67" s="170"/>
      <c r="PJK67" s="170"/>
      <c r="PJL67" s="170"/>
      <c r="PJM67" s="170"/>
      <c r="PJN67" s="170"/>
      <c r="PJO67" s="170"/>
      <c r="PJP67" s="170"/>
      <c r="PJQ67" s="170"/>
      <c r="PJR67" s="170"/>
      <c r="PJS67" s="170"/>
      <c r="PJT67" s="170"/>
      <c r="PJU67" s="170"/>
      <c r="PJV67" s="170"/>
      <c r="PJW67" s="170"/>
      <c r="PJX67" s="170"/>
      <c r="PJY67" s="170"/>
      <c r="PJZ67" s="170"/>
      <c r="PKA67" s="170"/>
      <c r="PKB67" s="170"/>
      <c r="PKC67" s="170"/>
      <c r="PKD67" s="170"/>
      <c r="PKE67" s="170"/>
      <c r="PKF67" s="170"/>
      <c r="PKG67" s="170"/>
      <c r="PKH67" s="170"/>
      <c r="PKI67" s="170"/>
      <c r="PKJ67" s="170"/>
      <c r="PKK67" s="170"/>
      <c r="PKL67" s="170"/>
      <c r="PKM67" s="170"/>
      <c r="PKN67" s="170"/>
      <c r="PKO67" s="170"/>
      <c r="PKP67" s="170"/>
      <c r="PKQ67" s="170"/>
      <c r="PKR67" s="170"/>
      <c r="PKS67" s="170"/>
      <c r="PKT67" s="170"/>
      <c r="PKU67" s="170"/>
      <c r="PKV67" s="170"/>
      <c r="PKW67" s="170"/>
      <c r="PKX67" s="170"/>
      <c r="PKY67" s="170"/>
      <c r="PKZ67" s="170"/>
      <c r="PLA67" s="170"/>
      <c r="PLB67" s="170"/>
      <c r="PLC67" s="170"/>
      <c r="PLD67" s="170"/>
      <c r="PLE67" s="170"/>
      <c r="PLF67" s="170"/>
      <c r="PLG67" s="170"/>
      <c r="PLH67" s="170"/>
      <c r="PLI67" s="170"/>
      <c r="PLJ67" s="170"/>
      <c r="PLK67" s="170"/>
      <c r="PLL67" s="170"/>
      <c r="PLM67" s="170"/>
      <c r="PLN67" s="170"/>
      <c r="PLO67" s="170"/>
      <c r="PLP67" s="170"/>
      <c r="PLQ67" s="170"/>
      <c r="PLR67" s="170"/>
      <c r="PLS67" s="170"/>
      <c r="PLT67" s="170"/>
      <c r="PLU67" s="170"/>
      <c r="PLV67" s="170"/>
      <c r="PLW67" s="170"/>
      <c r="PLX67" s="170"/>
      <c r="PLY67" s="170"/>
      <c r="PLZ67" s="170"/>
      <c r="PMA67" s="170"/>
      <c r="PMB67" s="170"/>
      <c r="PMC67" s="170"/>
      <c r="PMD67" s="170"/>
      <c r="PME67" s="170"/>
      <c r="PMF67" s="170"/>
      <c r="PMG67" s="170"/>
      <c r="PMH67" s="170"/>
      <c r="PMI67" s="170"/>
      <c r="PMJ67" s="170"/>
      <c r="PMK67" s="170"/>
      <c r="PML67" s="170"/>
      <c r="PMM67" s="170"/>
      <c r="PMN67" s="170"/>
      <c r="PMO67" s="170"/>
      <c r="PMP67" s="170"/>
      <c r="PMQ67" s="170"/>
      <c r="PMR67" s="170"/>
      <c r="PMS67" s="170"/>
      <c r="PMT67" s="170"/>
      <c r="PMU67" s="170"/>
      <c r="PMV67" s="170"/>
      <c r="PMW67" s="170"/>
      <c r="PMX67" s="170"/>
      <c r="PMY67" s="170"/>
      <c r="PMZ67" s="170"/>
      <c r="PNA67" s="170"/>
      <c r="PNB67" s="170"/>
      <c r="PNC67" s="170"/>
      <c r="PND67" s="170"/>
      <c r="PNE67" s="170"/>
      <c r="PNF67" s="170"/>
      <c r="PNG67" s="170"/>
      <c r="PNH67" s="170"/>
      <c r="PNI67" s="170"/>
      <c r="PNJ67" s="170"/>
      <c r="PNK67" s="170"/>
      <c r="PNL67" s="170"/>
      <c r="PNM67" s="170"/>
      <c r="PNN67" s="170"/>
      <c r="PNO67" s="170"/>
      <c r="PNP67" s="170"/>
      <c r="PNQ67" s="170"/>
      <c r="PNR67" s="170"/>
      <c r="PNS67" s="170"/>
      <c r="PNT67" s="170"/>
      <c r="PNU67" s="170"/>
      <c r="PNV67" s="170"/>
      <c r="PNW67" s="170"/>
      <c r="PNX67" s="170"/>
      <c r="PNY67" s="170"/>
      <c r="PNZ67" s="170"/>
      <c r="POA67" s="170"/>
      <c r="POB67" s="170"/>
      <c r="POC67" s="170"/>
      <c r="POD67" s="170"/>
      <c r="POE67" s="170"/>
      <c r="POF67" s="170"/>
      <c r="POG67" s="170"/>
      <c r="POH67" s="170"/>
      <c r="POI67" s="170"/>
      <c r="POJ67" s="170"/>
      <c r="POK67" s="170"/>
      <c r="POL67" s="170"/>
      <c r="POM67" s="170"/>
      <c r="PON67" s="170"/>
      <c r="POO67" s="170"/>
      <c r="POP67" s="170"/>
      <c r="POQ67" s="170"/>
      <c r="POR67" s="170"/>
      <c r="POS67" s="170"/>
      <c r="POT67" s="170"/>
      <c r="POU67" s="170"/>
      <c r="POV67" s="170"/>
      <c r="POW67" s="170"/>
      <c r="POX67" s="170"/>
      <c r="POY67" s="170"/>
      <c r="POZ67" s="170"/>
      <c r="PPA67" s="170"/>
      <c r="PPB67" s="170"/>
      <c r="PPC67" s="170"/>
      <c r="PPD67" s="170"/>
      <c r="PPE67" s="170"/>
      <c r="PPF67" s="170"/>
      <c r="PPG67" s="170"/>
      <c r="PPH67" s="170"/>
      <c r="PPI67" s="170"/>
      <c r="PPJ67" s="170"/>
      <c r="PPK67" s="170"/>
      <c r="PPL67" s="170"/>
      <c r="PPM67" s="170"/>
      <c r="PPN67" s="170"/>
      <c r="PPO67" s="170"/>
      <c r="PPP67" s="170"/>
      <c r="PPQ67" s="170"/>
      <c r="PPR67" s="170"/>
      <c r="PPS67" s="170"/>
      <c r="PPT67" s="170"/>
      <c r="PPU67" s="170"/>
      <c r="PPV67" s="170"/>
      <c r="PPW67" s="170"/>
      <c r="PPX67" s="170"/>
      <c r="PPY67" s="170"/>
      <c r="PPZ67" s="170"/>
      <c r="PQA67" s="170"/>
      <c r="PQB67" s="170"/>
      <c r="PQC67" s="170"/>
      <c r="PQD67" s="170"/>
      <c r="PQE67" s="170"/>
      <c r="PQF67" s="170"/>
      <c r="PQG67" s="170"/>
      <c r="PQH67" s="170"/>
      <c r="PQI67" s="170"/>
      <c r="PQJ67" s="170"/>
      <c r="PQK67" s="170"/>
      <c r="PQL67" s="170"/>
      <c r="PQM67" s="170"/>
      <c r="PQN67" s="170"/>
      <c r="PQO67" s="170"/>
      <c r="PQP67" s="170"/>
      <c r="PQQ67" s="170"/>
      <c r="PQR67" s="170"/>
      <c r="PQS67" s="170"/>
      <c r="PQT67" s="170"/>
      <c r="PQU67" s="170"/>
      <c r="PQV67" s="170"/>
      <c r="PQW67" s="170"/>
      <c r="PQX67" s="170"/>
      <c r="PQY67" s="170"/>
      <c r="PQZ67" s="170"/>
      <c r="PRA67" s="170"/>
      <c r="PRB67" s="170"/>
      <c r="PRC67" s="170"/>
      <c r="PRD67" s="170"/>
      <c r="PRE67" s="170"/>
      <c r="PRF67" s="170"/>
      <c r="PRG67" s="170"/>
      <c r="PRH67" s="170"/>
      <c r="PRI67" s="170"/>
      <c r="PRJ67" s="170"/>
      <c r="PRK67" s="170"/>
      <c r="PRL67" s="170"/>
      <c r="PRM67" s="170"/>
      <c r="PRN67" s="170"/>
      <c r="PRO67" s="170"/>
      <c r="PRP67" s="170"/>
      <c r="PRQ67" s="170"/>
      <c r="PRR67" s="170"/>
      <c r="PRS67" s="170"/>
      <c r="PRT67" s="170"/>
      <c r="PRU67" s="170"/>
      <c r="PRV67" s="170"/>
      <c r="PRW67" s="170"/>
      <c r="PRX67" s="170"/>
      <c r="PRY67" s="170"/>
      <c r="PRZ67" s="170"/>
      <c r="PSA67" s="170"/>
      <c r="PSB67" s="170"/>
      <c r="PSC67" s="170"/>
      <c r="PSD67" s="170"/>
      <c r="PSE67" s="170"/>
      <c r="PSF67" s="170"/>
      <c r="PSG67" s="170"/>
      <c r="PSH67" s="170"/>
      <c r="PSI67" s="170"/>
      <c r="PSJ67" s="170"/>
      <c r="PSK67" s="170"/>
      <c r="PSL67" s="170"/>
      <c r="PSM67" s="170"/>
      <c r="PSN67" s="170"/>
      <c r="PSO67" s="170"/>
      <c r="PSP67" s="170"/>
      <c r="PSQ67" s="170"/>
      <c r="PSR67" s="170"/>
      <c r="PSS67" s="170"/>
      <c r="PST67" s="170"/>
      <c r="PSU67" s="170"/>
      <c r="PSV67" s="170"/>
      <c r="PSW67" s="170"/>
      <c r="PSX67" s="170"/>
      <c r="PSY67" s="170"/>
      <c r="PSZ67" s="170"/>
      <c r="PTA67" s="170"/>
      <c r="PTB67" s="170"/>
      <c r="PTC67" s="170"/>
      <c r="PTD67" s="170"/>
      <c r="PTE67" s="170"/>
      <c r="PTF67" s="170"/>
      <c r="PTG67" s="170"/>
      <c r="PTH67" s="170"/>
      <c r="PTI67" s="170"/>
      <c r="PTJ67" s="170"/>
      <c r="PTK67" s="170"/>
      <c r="PTL67" s="170"/>
      <c r="PTM67" s="170"/>
      <c r="PTN67" s="170"/>
      <c r="PTO67" s="170"/>
      <c r="PTP67" s="170"/>
      <c r="PTQ67" s="170"/>
      <c r="PTR67" s="170"/>
      <c r="PTS67" s="170"/>
      <c r="PTT67" s="170"/>
      <c r="PTU67" s="170"/>
      <c r="PTV67" s="170"/>
      <c r="PTW67" s="170"/>
      <c r="PTX67" s="170"/>
      <c r="PTY67" s="170"/>
      <c r="PTZ67" s="170"/>
      <c r="PUA67" s="170"/>
      <c r="PUB67" s="170"/>
      <c r="PUC67" s="170"/>
      <c r="PUD67" s="170"/>
      <c r="PUE67" s="170"/>
      <c r="PUF67" s="170"/>
      <c r="PUG67" s="170"/>
      <c r="PUH67" s="170"/>
      <c r="PUI67" s="170"/>
      <c r="PUJ67" s="170"/>
      <c r="PUK67" s="170"/>
      <c r="PUL67" s="170"/>
      <c r="PUM67" s="170"/>
      <c r="PUN67" s="170"/>
      <c r="PUO67" s="170"/>
      <c r="PUP67" s="170"/>
      <c r="PUQ67" s="170"/>
      <c r="PUR67" s="170"/>
      <c r="PUS67" s="170"/>
      <c r="PUT67" s="170"/>
      <c r="PUU67" s="170"/>
      <c r="PUV67" s="170"/>
      <c r="PUW67" s="170"/>
      <c r="PUX67" s="170"/>
      <c r="PUY67" s="170"/>
      <c r="PUZ67" s="170"/>
      <c r="PVA67" s="170"/>
      <c r="PVB67" s="170"/>
      <c r="PVC67" s="170"/>
      <c r="PVD67" s="170"/>
      <c r="PVE67" s="170"/>
      <c r="PVF67" s="170"/>
      <c r="PVG67" s="170"/>
      <c r="PVH67" s="170"/>
      <c r="PVI67" s="170"/>
      <c r="PVJ67" s="170"/>
      <c r="PVK67" s="170"/>
      <c r="PVL67" s="170"/>
      <c r="PVM67" s="170"/>
      <c r="PVN67" s="170"/>
      <c r="PVO67" s="170"/>
      <c r="PVP67" s="170"/>
      <c r="PVQ67" s="170"/>
      <c r="PVR67" s="170"/>
      <c r="PVS67" s="170"/>
      <c r="PVT67" s="170"/>
      <c r="PVU67" s="170"/>
      <c r="PVV67" s="170"/>
      <c r="PVW67" s="170"/>
      <c r="PVX67" s="170"/>
      <c r="PVY67" s="170"/>
      <c r="PVZ67" s="170"/>
      <c r="PWA67" s="170"/>
      <c r="PWB67" s="170"/>
      <c r="PWC67" s="170"/>
      <c r="PWD67" s="170"/>
      <c r="PWE67" s="170"/>
      <c r="PWF67" s="170"/>
      <c r="PWG67" s="170"/>
      <c r="PWH67" s="170"/>
      <c r="PWI67" s="170"/>
      <c r="PWJ67" s="170"/>
      <c r="PWK67" s="170"/>
      <c r="PWL67" s="170"/>
      <c r="PWM67" s="170"/>
      <c r="PWN67" s="170"/>
      <c r="PWO67" s="170"/>
      <c r="PWP67" s="170"/>
      <c r="PWQ67" s="170"/>
      <c r="PWR67" s="170"/>
      <c r="PWS67" s="170"/>
      <c r="PWT67" s="170"/>
      <c r="PWU67" s="170"/>
      <c r="PWV67" s="170"/>
      <c r="PWW67" s="170"/>
      <c r="PWX67" s="170"/>
      <c r="PWY67" s="170"/>
      <c r="PWZ67" s="170"/>
      <c r="PXA67" s="170"/>
      <c r="PXB67" s="170"/>
      <c r="PXC67" s="170"/>
      <c r="PXD67" s="170"/>
      <c r="PXE67" s="170"/>
      <c r="PXF67" s="170"/>
      <c r="PXG67" s="170"/>
      <c r="PXH67" s="170"/>
      <c r="PXI67" s="170"/>
      <c r="PXJ67" s="170"/>
      <c r="PXK67" s="170"/>
      <c r="PXL67" s="170"/>
      <c r="PXM67" s="170"/>
      <c r="PXN67" s="170"/>
      <c r="PXO67" s="170"/>
      <c r="PXP67" s="170"/>
      <c r="PXQ67" s="170"/>
      <c r="PXR67" s="170"/>
      <c r="PXS67" s="170"/>
      <c r="PXT67" s="170"/>
      <c r="PXU67" s="170"/>
      <c r="PXV67" s="170"/>
      <c r="PXW67" s="170"/>
      <c r="PXX67" s="170"/>
      <c r="PXY67" s="170"/>
      <c r="PXZ67" s="170"/>
      <c r="PYA67" s="170"/>
      <c r="PYB67" s="170"/>
      <c r="PYC67" s="170"/>
      <c r="PYD67" s="170"/>
      <c r="PYE67" s="170"/>
      <c r="PYF67" s="170"/>
      <c r="PYG67" s="170"/>
      <c r="PYH67" s="170"/>
      <c r="PYI67" s="170"/>
      <c r="PYJ67" s="170"/>
      <c r="PYK67" s="170"/>
      <c r="PYL67" s="170"/>
      <c r="PYM67" s="170"/>
      <c r="PYN67" s="170"/>
      <c r="PYO67" s="170"/>
      <c r="PYP67" s="170"/>
      <c r="PYQ67" s="170"/>
      <c r="PYR67" s="170"/>
      <c r="PYS67" s="170"/>
      <c r="PYT67" s="170"/>
      <c r="PYU67" s="170"/>
      <c r="PYV67" s="170"/>
      <c r="PYW67" s="170"/>
      <c r="PYX67" s="170"/>
      <c r="PYY67" s="170"/>
      <c r="PYZ67" s="170"/>
      <c r="PZA67" s="170"/>
      <c r="PZB67" s="170"/>
      <c r="PZC67" s="170"/>
      <c r="PZD67" s="170"/>
      <c r="PZE67" s="170"/>
      <c r="PZF67" s="170"/>
      <c r="PZG67" s="170"/>
      <c r="PZH67" s="170"/>
      <c r="PZI67" s="170"/>
      <c r="PZJ67" s="170"/>
      <c r="PZK67" s="170"/>
      <c r="PZL67" s="170"/>
      <c r="PZM67" s="170"/>
      <c r="PZN67" s="170"/>
      <c r="PZO67" s="170"/>
      <c r="PZP67" s="170"/>
      <c r="PZQ67" s="170"/>
      <c r="PZR67" s="170"/>
      <c r="PZS67" s="170"/>
      <c r="PZT67" s="170"/>
      <c r="PZU67" s="170"/>
      <c r="PZV67" s="170"/>
      <c r="PZW67" s="170"/>
      <c r="PZX67" s="170"/>
      <c r="PZY67" s="170"/>
      <c r="PZZ67" s="170"/>
      <c r="QAA67" s="170"/>
      <c r="QAB67" s="170"/>
      <c r="QAC67" s="170"/>
      <c r="QAD67" s="170"/>
      <c r="QAE67" s="170"/>
      <c r="QAF67" s="170"/>
      <c r="QAG67" s="170"/>
      <c r="QAH67" s="170"/>
      <c r="QAI67" s="170"/>
      <c r="QAJ67" s="170"/>
      <c r="QAK67" s="170"/>
      <c r="QAL67" s="170"/>
      <c r="QAM67" s="170"/>
      <c r="QAN67" s="170"/>
      <c r="QAO67" s="170"/>
      <c r="QAP67" s="170"/>
      <c r="QAQ67" s="170"/>
      <c r="QAR67" s="170"/>
      <c r="QAS67" s="170"/>
      <c r="QAT67" s="170"/>
      <c r="QAU67" s="170"/>
      <c r="QAV67" s="170"/>
      <c r="QAW67" s="170"/>
      <c r="QAX67" s="170"/>
      <c r="QAY67" s="170"/>
      <c r="QAZ67" s="170"/>
      <c r="QBA67" s="170"/>
      <c r="QBB67" s="170"/>
      <c r="QBC67" s="170"/>
      <c r="QBD67" s="170"/>
      <c r="QBE67" s="170"/>
      <c r="QBF67" s="170"/>
      <c r="QBG67" s="170"/>
      <c r="QBH67" s="170"/>
      <c r="QBI67" s="170"/>
      <c r="QBJ67" s="170"/>
      <c r="QBK67" s="170"/>
      <c r="QBL67" s="170"/>
      <c r="QBM67" s="170"/>
      <c r="QBN67" s="170"/>
      <c r="QBO67" s="170"/>
      <c r="QBP67" s="170"/>
      <c r="QBQ67" s="170"/>
      <c r="QBR67" s="170"/>
      <c r="QBS67" s="170"/>
      <c r="QBT67" s="170"/>
      <c r="QBU67" s="170"/>
      <c r="QBV67" s="170"/>
      <c r="QBW67" s="170"/>
      <c r="QBX67" s="170"/>
      <c r="QBY67" s="170"/>
      <c r="QBZ67" s="170"/>
      <c r="QCA67" s="170"/>
      <c r="QCB67" s="170"/>
      <c r="QCC67" s="170"/>
      <c r="QCD67" s="170"/>
      <c r="QCE67" s="170"/>
      <c r="QCF67" s="170"/>
      <c r="QCG67" s="170"/>
      <c r="QCH67" s="170"/>
      <c r="QCI67" s="170"/>
      <c r="QCJ67" s="170"/>
      <c r="QCK67" s="170"/>
      <c r="QCL67" s="170"/>
      <c r="QCM67" s="170"/>
      <c r="QCN67" s="170"/>
      <c r="QCO67" s="170"/>
      <c r="QCP67" s="170"/>
      <c r="QCQ67" s="170"/>
      <c r="QCR67" s="170"/>
      <c r="QCS67" s="170"/>
      <c r="QCT67" s="170"/>
      <c r="QCU67" s="170"/>
      <c r="QCV67" s="170"/>
      <c r="QCW67" s="170"/>
      <c r="QCX67" s="170"/>
      <c r="QCY67" s="170"/>
      <c r="QCZ67" s="170"/>
      <c r="QDA67" s="170"/>
      <c r="QDB67" s="170"/>
      <c r="QDC67" s="170"/>
      <c r="QDD67" s="170"/>
      <c r="QDE67" s="170"/>
      <c r="QDF67" s="170"/>
      <c r="QDG67" s="170"/>
      <c r="QDH67" s="170"/>
      <c r="QDI67" s="170"/>
      <c r="QDJ67" s="170"/>
      <c r="QDK67" s="170"/>
      <c r="QDL67" s="170"/>
      <c r="QDM67" s="170"/>
      <c r="QDN67" s="170"/>
      <c r="QDO67" s="170"/>
      <c r="QDP67" s="170"/>
      <c r="QDQ67" s="170"/>
      <c r="QDR67" s="170"/>
      <c r="QDS67" s="170"/>
      <c r="QDT67" s="170"/>
      <c r="QDU67" s="170"/>
      <c r="QDV67" s="170"/>
      <c r="QDW67" s="170"/>
      <c r="QDX67" s="170"/>
      <c r="QDY67" s="170"/>
      <c r="QDZ67" s="170"/>
      <c r="QEA67" s="170"/>
      <c r="QEB67" s="170"/>
      <c r="QEC67" s="170"/>
      <c r="QED67" s="170"/>
      <c r="QEE67" s="170"/>
      <c r="QEF67" s="170"/>
      <c r="QEG67" s="170"/>
      <c r="QEH67" s="170"/>
      <c r="QEI67" s="170"/>
      <c r="QEJ67" s="170"/>
      <c r="QEK67" s="170"/>
      <c r="QEL67" s="170"/>
      <c r="QEM67" s="170"/>
      <c r="QEN67" s="170"/>
      <c r="QEO67" s="170"/>
      <c r="QEP67" s="170"/>
      <c r="QEQ67" s="170"/>
      <c r="QER67" s="170"/>
      <c r="QES67" s="170"/>
      <c r="QET67" s="170"/>
      <c r="QEU67" s="170"/>
      <c r="QEV67" s="170"/>
      <c r="QEW67" s="170"/>
      <c r="QEX67" s="170"/>
      <c r="QEY67" s="170"/>
      <c r="QEZ67" s="170"/>
      <c r="QFA67" s="170"/>
      <c r="QFB67" s="170"/>
      <c r="QFC67" s="170"/>
      <c r="QFD67" s="170"/>
      <c r="QFE67" s="170"/>
      <c r="QFF67" s="170"/>
      <c r="QFG67" s="170"/>
      <c r="QFH67" s="170"/>
      <c r="QFI67" s="170"/>
      <c r="QFJ67" s="170"/>
      <c r="QFK67" s="170"/>
      <c r="QFL67" s="170"/>
      <c r="QFM67" s="170"/>
      <c r="QFN67" s="170"/>
      <c r="QFO67" s="170"/>
      <c r="QFP67" s="170"/>
      <c r="QFQ67" s="170"/>
      <c r="QFR67" s="170"/>
      <c r="QFS67" s="170"/>
      <c r="QFT67" s="170"/>
      <c r="QFU67" s="170"/>
      <c r="QFV67" s="170"/>
      <c r="QFW67" s="170"/>
      <c r="QFX67" s="170"/>
      <c r="QFY67" s="170"/>
      <c r="QFZ67" s="170"/>
      <c r="QGA67" s="170"/>
      <c r="QGB67" s="170"/>
      <c r="QGC67" s="170"/>
      <c r="QGD67" s="170"/>
      <c r="QGE67" s="170"/>
      <c r="QGF67" s="170"/>
      <c r="QGG67" s="170"/>
      <c r="QGH67" s="170"/>
      <c r="QGI67" s="170"/>
      <c r="QGJ67" s="170"/>
      <c r="QGK67" s="170"/>
      <c r="QGL67" s="170"/>
      <c r="QGM67" s="170"/>
      <c r="QGN67" s="170"/>
      <c r="QGO67" s="170"/>
      <c r="QGP67" s="170"/>
      <c r="QGQ67" s="170"/>
      <c r="QGR67" s="170"/>
      <c r="QGS67" s="170"/>
      <c r="QGT67" s="170"/>
      <c r="QGU67" s="170"/>
      <c r="QGV67" s="170"/>
      <c r="QGW67" s="170"/>
      <c r="QGX67" s="170"/>
      <c r="QGY67" s="170"/>
      <c r="QGZ67" s="170"/>
      <c r="QHA67" s="170"/>
      <c r="QHB67" s="170"/>
      <c r="QHC67" s="170"/>
      <c r="QHD67" s="170"/>
      <c r="QHE67" s="170"/>
      <c r="QHF67" s="170"/>
      <c r="QHG67" s="170"/>
      <c r="QHH67" s="170"/>
      <c r="QHI67" s="170"/>
      <c r="QHJ67" s="170"/>
      <c r="QHK67" s="170"/>
      <c r="QHL67" s="170"/>
      <c r="QHM67" s="170"/>
      <c r="QHN67" s="170"/>
      <c r="QHO67" s="170"/>
      <c r="QHP67" s="170"/>
      <c r="QHQ67" s="170"/>
      <c r="QHR67" s="170"/>
      <c r="QHS67" s="170"/>
      <c r="QHT67" s="170"/>
      <c r="QHU67" s="170"/>
      <c r="QHV67" s="170"/>
      <c r="QHW67" s="170"/>
      <c r="QHX67" s="170"/>
      <c r="QHY67" s="170"/>
      <c r="QHZ67" s="170"/>
      <c r="QIA67" s="170"/>
      <c r="QIB67" s="170"/>
      <c r="QIC67" s="170"/>
      <c r="QID67" s="170"/>
      <c r="QIE67" s="170"/>
      <c r="QIF67" s="170"/>
      <c r="QIG67" s="170"/>
      <c r="QIH67" s="170"/>
      <c r="QII67" s="170"/>
      <c r="QIJ67" s="170"/>
      <c r="QIK67" s="170"/>
      <c r="QIL67" s="170"/>
      <c r="QIM67" s="170"/>
      <c r="QIN67" s="170"/>
      <c r="QIO67" s="170"/>
      <c r="QIP67" s="170"/>
      <c r="QIQ67" s="170"/>
      <c r="QIR67" s="170"/>
      <c r="QIS67" s="170"/>
      <c r="QIT67" s="170"/>
      <c r="QIU67" s="170"/>
      <c r="QIV67" s="170"/>
      <c r="QIW67" s="170"/>
      <c r="QIX67" s="170"/>
      <c r="QIY67" s="170"/>
      <c r="QIZ67" s="170"/>
      <c r="QJA67" s="170"/>
      <c r="QJB67" s="170"/>
      <c r="QJC67" s="170"/>
      <c r="QJD67" s="170"/>
      <c r="QJE67" s="170"/>
      <c r="QJF67" s="170"/>
      <c r="QJG67" s="170"/>
      <c r="QJH67" s="170"/>
      <c r="QJI67" s="170"/>
      <c r="QJJ67" s="170"/>
      <c r="QJK67" s="170"/>
      <c r="QJL67" s="170"/>
      <c r="QJM67" s="170"/>
      <c r="QJN67" s="170"/>
      <c r="QJO67" s="170"/>
      <c r="QJP67" s="170"/>
      <c r="QJQ67" s="170"/>
      <c r="QJR67" s="170"/>
      <c r="QJS67" s="170"/>
      <c r="QJT67" s="170"/>
      <c r="QJU67" s="170"/>
      <c r="QJV67" s="170"/>
      <c r="QJW67" s="170"/>
      <c r="QJX67" s="170"/>
      <c r="QJY67" s="170"/>
      <c r="QJZ67" s="170"/>
      <c r="QKA67" s="170"/>
      <c r="QKB67" s="170"/>
      <c r="QKC67" s="170"/>
      <c r="QKD67" s="170"/>
      <c r="QKE67" s="170"/>
      <c r="QKF67" s="170"/>
      <c r="QKG67" s="170"/>
      <c r="QKH67" s="170"/>
      <c r="QKI67" s="170"/>
      <c r="QKJ67" s="170"/>
      <c r="QKK67" s="170"/>
      <c r="QKL67" s="170"/>
      <c r="QKM67" s="170"/>
      <c r="QKN67" s="170"/>
      <c r="QKO67" s="170"/>
      <c r="QKP67" s="170"/>
      <c r="QKQ67" s="170"/>
      <c r="QKR67" s="170"/>
      <c r="QKS67" s="170"/>
      <c r="QKT67" s="170"/>
      <c r="QKU67" s="170"/>
      <c r="QKV67" s="170"/>
      <c r="QKW67" s="170"/>
      <c r="QKX67" s="170"/>
      <c r="QKY67" s="170"/>
      <c r="QKZ67" s="170"/>
      <c r="QLA67" s="170"/>
      <c r="QLB67" s="170"/>
      <c r="QLC67" s="170"/>
      <c r="QLD67" s="170"/>
      <c r="QLE67" s="170"/>
      <c r="QLF67" s="170"/>
      <c r="QLG67" s="170"/>
      <c r="QLH67" s="170"/>
      <c r="QLI67" s="170"/>
      <c r="QLJ67" s="170"/>
      <c r="QLK67" s="170"/>
      <c r="QLL67" s="170"/>
      <c r="QLM67" s="170"/>
      <c r="QLN67" s="170"/>
      <c r="QLO67" s="170"/>
      <c r="QLP67" s="170"/>
      <c r="QLQ67" s="170"/>
      <c r="QLR67" s="170"/>
      <c r="QLS67" s="170"/>
      <c r="QLT67" s="170"/>
      <c r="QLU67" s="170"/>
      <c r="QLV67" s="170"/>
      <c r="QLW67" s="170"/>
      <c r="QLX67" s="170"/>
      <c r="QLY67" s="170"/>
      <c r="QLZ67" s="170"/>
      <c r="QMA67" s="170"/>
      <c r="QMB67" s="170"/>
      <c r="QMC67" s="170"/>
      <c r="QMD67" s="170"/>
      <c r="QME67" s="170"/>
      <c r="QMF67" s="170"/>
      <c r="QMG67" s="170"/>
      <c r="QMH67" s="170"/>
      <c r="QMI67" s="170"/>
      <c r="QMJ67" s="170"/>
      <c r="QMK67" s="170"/>
      <c r="QML67" s="170"/>
      <c r="QMM67" s="170"/>
      <c r="QMN67" s="170"/>
      <c r="QMO67" s="170"/>
      <c r="QMP67" s="170"/>
      <c r="QMQ67" s="170"/>
      <c r="QMR67" s="170"/>
      <c r="QMS67" s="170"/>
      <c r="QMT67" s="170"/>
      <c r="QMU67" s="170"/>
      <c r="QMV67" s="170"/>
      <c r="QMW67" s="170"/>
      <c r="QMX67" s="170"/>
      <c r="QMY67" s="170"/>
      <c r="QMZ67" s="170"/>
      <c r="QNA67" s="170"/>
      <c r="QNB67" s="170"/>
      <c r="QNC67" s="170"/>
      <c r="QND67" s="170"/>
      <c r="QNE67" s="170"/>
      <c r="QNF67" s="170"/>
      <c r="QNG67" s="170"/>
      <c r="QNH67" s="170"/>
      <c r="QNI67" s="170"/>
      <c r="QNJ67" s="170"/>
      <c r="QNK67" s="170"/>
      <c r="QNL67" s="170"/>
      <c r="QNM67" s="170"/>
      <c r="QNN67" s="170"/>
      <c r="QNO67" s="170"/>
      <c r="QNP67" s="170"/>
      <c r="QNQ67" s="170"/>
      <c r="QNR67" s="170"/>
      <c r="QNS67" s="170"/>
      <c r="QNT67" s="170"/>
      <c r="QNU67" s="170"/>
      <c r="QNV67" s="170"/>
      <c r="QNW67" s="170"/>
      <c r="QNX67" s="170"/>
      <c r="QNY67" s="170"/>
      <c r="QNZ67" s="170"/>
      <c r="QOA67" s="170"/>
      <c r="QOB67" s="170"/>
      <c r="QOC67" s="170"/>
      <c r="QOD67" s="170"/>
      <c r="QOE67" s="170"/>
      <c r="QOF67" s="170"/>
      <c r="QOG67" s="170"/>
      <c r="QOH67" s="170"/>
      <c r="QOI67" s="170"/>
      <c r="QOJ67" s="170"/>
      <c r="QOK67" s="170"/>
      <c r="QOL67" s="170"/>
      <c r="QOM67" s="170"/>
      <c r="QON67" s="170"/>
      <c r="QOO67" s="170"/>
      <c r="QOP67" s="170"/>
      <c r="QOQ67" s="170"/>
      <c r="QOR67" s="170"/>
      <c r="QOS67" s="170"/>
      <c r="QOT67" s="170"/>
      <c r="QOU67" s="170"/>
      <c r="QOV67" s="170"/>
      <c r="QOW67" s="170"/>
      <c r="QOX67" s="170"/>
      <c r="QOY67" s="170"/>
      <c r="QOZ67" s="170"/>
      <c r="QPA67" s="170"/>
      <c r="QPB67" s="170"/>
      <c r="QPC67" s="170"/>
      <c r="QPD67" s="170"/>
      <c r="QPE67" s="170"/>
      <c r="QPF67" s="170"/>
      <c r="QPG67" s="170"/>
      <c r="QPH67" s="170"/>
      <c r="QPI67" s="170"/>
      <c r="QPJ67" s="170"/>
      <c r="QPK67" s="170"/>
      <c r="QPL67" s="170"/>
      <c r="QPM67" s="170"/>
      <c r="QPN67" s="170"/>
      <c r="QPO67" s="170"/>
      <c r="QPP67" s="170"/>
      <c r="QPQ67" s="170"/>
      <c r="QPR67" s="170"/>
      <c r="QPS67" s="170"/>
      <c r="QPT67" s="170"/>
      <c r="QPU67" s="170"/>
      <c r="QPV67" s="170"/>
      <c r="QPW67" s="170"/>
      <c r="QPX67" s="170"/>
      <c r="QPY67" s="170"/>
      <c r="QPZ67" s="170"/>
      <c r="QQA67" s="170"/>
      <c r="QQB67" s="170"/>
      <c r="QQC67" s="170"/>
      <c r="QQD67" s="170"/>
      <c r="QQE67" s="170"/>
      <c r="QQF67" s="170"/>
      <c r="QQG67" s="170"/>
      <c r="QQH67" s="170"/>
      <c r="QQI67" s="170"/>
      <c r="QQJ67" s="170"/>
      <c r="QQK67" s="170"/>
      <c r="QQL67" s="170"/>
      <c r="QQM67" s="170"/>
      <c r="QQN67" s="170"/>
      <c r="QQO67" s="170"/>
      <c r="QQP67" s="170"/>
      <c r="QQQ67" s="170"/>
      <c r="QQR67" s="170"/>
      <c r="QQS67" s="170"/>
      <c r="QQT67" s="170"/>
      <c r="QQU67" s="170"/>
      <c r="QQV67" s="170"/>
      <c r="QQW67" s="170"/>
      <c r="QQX67" s="170"/>
      <c r="QQY67" s="170"/>
      <c r="QQZ67" s="170"/>
      <c r="QRA67" s="170"/>
      <c r="QRB67" s="170"/>
      <c r="QRC67" s="170"/>
      <c r="QRD67" s="170"/>
      <c r="QRE67" s="170"/>
      <c r="QRF67" s="170"/>
      <c r="QRG67" s="170"/>
      <c r="QRH67" s="170"/>
      <c r="QRI67" s="170"/>
      <c r="QRJ67" s="170"/>
      <c r="QRK67" s="170"/>
      <c r="QRL67" s="170"/>
      <c r="QRM67" s="170"/>
      <c r="QRN67" s="170"/>
      <c r="QRO67" s="170"/>
      <c r="QRP67" s="170"/>
      <c r="QRQ67" s="170"/>
      <c r="QRR67" s="170"/>
      <c r="QRS67" s="170"/>
      <c r="QRT67" s="170"/>
      <c r="QRU67" s="170"/>
      <c r="QRV67" s="170"/>
      <c r="QRW67" s="170"/>
      <c r="QRX67" s="170"/>
      <c r="QRY67" s="170"/>
      <c r="QRZ67" s="170"/>
      <c r="QSA67" s="170"/>
      <c r="QSB67" s="170"/>
      <c r="QSC67" s="170"/>
      <c r="QSD67" s="170"/>
      <c r="QSE67" s="170"/>
      <c r="QSF67" s="170"/>
      <c r="QSG67" s="170"/>
      <c r="QSH67" s="170"/>
      <c r="QSI67" s="170"/>
      <c r="QSJ67" s="170"/>
      <c r="QSK67" s="170"/>
      <c r="QSL67" s="170"/>
      <c r="QSM67" s="170"/>
      <c r="QSN67" s="170"/>
      <c r="QSO67" s="170"/>
      <c r="QSP67" s="170"/>
      <c r="QSQ67" s="170"/>
      <c r="QSR67" s="170"/>
      <c r="QSS67" s="170"/>
      <c r="QST67" s="170"/>
      <c r="QSU67" s="170"/>
      <c r="QSV67" s="170"/>
      <c r="QSW67" s="170"/>
      <c r="QSX67" s="170"/>
      <c r="QSY67" s="170"/>
      <c r="QSZ67" s="170"/>
      <c r="QTA67" s="170"/>
      <c r="QTB67" s="170"/>
      <c r="QTC67" s="170"/>
      <c r="QTD67" s="170"/>
      <c r="QTE67" s="170"/>
      <c r="QTF67" s="170"/>
      <c r="QTG67" s="170"/>
      <c r="QTH67" s="170"/>
      <c r="QTI67" s="170"/>
      <c r="QTJ67" s="170"/>
      <c r="QTK67" s="170"/>
      <c r="QTL67" s="170"/>
      <c r="QTM67" s="170"/>
      <c r="QTN67" s="170"/>
      <c r="QTO67" s="170"/>
      <c r="QTP67" s="170"/>
      <c r="QTQ67" s="170"/>
      <c r="QTR67" s="170"/>
      <c r="QTS67" s="170"/>
      <c r="QTT67" s="170"/>
      <c r="QTU67" s="170"/>
      <c r="QTV67" s="170"/>
      <c r="QTW67" s="170"/>
      <c r="QTX67" s="170"/>
      <c r="QTY67" s="170"/>
      <c r="QTZ67" s="170"/>
      <c r="QUA67" s="170"/>
      <c r="QUB67" s="170"/>
      <c r="QUC67" s="170"/>
      <c r="QUD67" s="170"/>
      <c r="QUE67" s="170"/>
      <c r="QUF67" s="170"/>
      <c r="QUG67" s="170"/>
      <c r="QUH67" s="170"/>
      <c r="QUI67" s="170"/>
      <c r="QUJ67" s="170"/>
      <c r="QUK67" s="170"/>
      <c r="QUL67" s="170"/>
      <c r="QUM67" s="170"/>
      <c r="QUN67" s="170"/>
      <c r="QUO67" s="170"/>
      <c r="QUP67" s="170"/>
      <c r="QUQ67" s="170"/>
      <c r="QUR67" s="170"/>
      <c r="QUS67" s="170"/>
      <c r="QUT67" s="170"/>
      <c r="QUU67" s="170"/>
      <c r="QUV67" s="170"/>
      <c r="QUW67" s="170"/>
      <c r="QUX67" s="170"/>
      <c r="QUY67" s="170"/>
      <c r="QUZ67" s="170"/>
      <c r="QVA67" s="170"/>
      <c r="QVB67" s="170"/>
      <c r="QVC67" s="170"/>
      <c r="QVD67" s="170"/>
      <c r="QVE67" s="170"/>
      <c r="QVF67" s="170"/>
      <c r="QVG67" s="170"/>
      <c r="QVH67" s="170"/>
      <c r="QVI67" s="170"/>
      <c r="QVJ67" s="170"/>
      <c r="QVK67" s="170"/>
      <c r="QVL67" s="170"/>
      <c r="QVM67" s="170"/>
      <c r="QVN67" s="170"/>
      <c r="QVO67" s="170"/>
      <c r="QVP67" s="170"/>
      <c r="QVQ67" s="170"/>
      <c r="QVR67" s="170"/>
      <c r="QVS67" s="170"/>
      <c r="QVT67" s="170"/>
      <c r="QVU67" s="170"/>
      <c r="QVV67" s="170"/>
      <c r="QVW67" s="170"/>
      <c r="QVX67" s="170"/>
      <c r="QVY67" s="170"/>
      <c r="QVZ67" s="170"/>
      <c r="QWA67" s="170"/>
      <c r="QWB67" s="170"/>
      <c r="QWC67" s="170"/>
      <c r="QWD67" s="170"/>
      <c r="QWE67" s="170"/>
      <c r="QWF67" s="170"/>
      <c r="QWG67" s="170"/>
      <c r="QWH67" s="170"/>
      <c r="QWI67" s="170"/>
      <c r="QWJ67" s="170"/>
      <c r="QWK67" s="170"/>
      <c r="QWL67" s="170"/>
      <c r="QWM67" s="170"/>
      <c r="QWN67" s="170"/>
      <c r="QWO67" s="170"/>
      <c r="QWP67" s="170"/>
      <c r="QWQ67" s="170"/>
      <c r="QWR67" s="170"/>
      <c r="QWS67" s="170"/>
      <c r="QWT67" s="170"/>
      <c r="QWU67" s="170"/>
      <c r="QWV67" s="170"/>
      <c r="QWW67" s="170"/>
      <c r="QWX67" s="170"/>
      <c r="QWY67" s="170"/>
      <c r="QWZ67" s="170"/>
      <c r="QXA67" s="170"/>
      <c r="QXB67" s="170"/>
      <c r="QXC67" s="170"/>
      <c r="QXD67" s="170"/>
      <c r="QXE67" s="170"/>
      <c r="QXF67" s="170"/>
      <c r="QXG67" s="170"/>
      <c r="QXH67" s="170"/>
      <c r="QXI67" s="170"/>
      <c r="QXJ67" s="170"/>
      <c r="QXK67" s="170"/>
      <c r="QXL67" s="170"/>
      <c r="QXM67" s="170"/>
      <c r="QXN67" s="170"/>
      <c r="QXO67" s="170"/>
      <c r="QXP67" s="170"/>
      <c r="QXQ67" s="170"/>
      <c r="QXR67" s="170"/>
      <c r="QXS67" s="170"/>
      <c r="QXT67" s="170"/>
      <c r="QXU67" s="170"/>
      <c r="QXV67" s="170"/>
      <c r="QXW67" s="170"/>
      <c r="QXX67" s="170"/>
      <c r="QXY67" s="170"/>
      <c r="QXZ67" s="170"/>
      <c r="QYA67" s="170"/>
      <c r="QYB67" s="170"/>
      <c r="QYC67" s="170"/>
      <c r="QYD67" s="170"/>
      <c r="QYE67" s="170"/>
      <c r="QYF67" s="170"/>
      <c r="QYG67" s="170"/>
      <c r="QYH67" s="170"/>
      <c r="QYI67" s="170"/>
      <c r="QYJ67" s="170"/>
      <c r="QYK67" s="170"/>
      <c r="QYL67" s="170"/>
      <c r="QYM67" s="170"/>
      <c r="QYN67" s="170"/>
      <c r="QYO67" s="170"/>
      <c r="QYP67" s="170"/>
      <c r="QYQ67" s="170"/>
      <c r="QYR67" s="170"/>
      <c r="QYS67" s="170"/>
      <c r="QYT67" s="170"/>
      <c r="QYU67" s="170"/>
      <c r="QYV67" s="170"/>
      <c r="QYW67" s="170"/>
      <c r="QYX67" s="170"/>
      <c r="QYY67" s="170"/>
      <c r="QYZ67" s="170"/>
      <c r="QZA67" s="170"/>
      <c r="QZB67" s="170"/>
      <c r="QZC67" s="170"/>
      <c r="QZD67" s="170"/>
      <c r="QZE67" s="170"/>
      <c r="QZF67" s="170"/>
      <c r="QZG67" s="170"/>
      <c r="QZH67" s="170"/>
      <c r="QZI67" s="170"/>
      <c r="QZJ67" s="170"/>
      <c r="QZK67" s="170"/>
      <c r="QZL67" s="170"/>
      <c r="QZM67" s="170"/>
      <c r="QZN67" s="170"/>
      <c r="QZO67" s="170"/>
      <c r="QZP67" s="170"/>
      <c r="QZQ67" s="170"/>
      <c r="QZR67" s="170"/>
      <c r="QZS67" s="170"/>
      <c r="QZT67" s="170"/>
      <c r="QZU67" s="170"/>
      <c r="QZV67" s="170"/>
      <c r="QZW67" s="170"/>
      <c r="QZX67" s="170"/>
      <c r="QZY67" s="170"/>
      <c r="QZZ67" s="170"/>
      <c r="RAA67" s="170"/>
      <c r="RAB67" s="170"/>
      <c r="RAC67" s="170"/>
      <c r="RAD67" s="170"/>
      <c r="RAE67" s="170"/>
      <c r="RAF67" s="170"/>
      <c r="RAG67" s="170"/>
      <c r="RAH67" s="170"/>
      <c r="RAI67" s="170"/>
      <c r="RAJ67" s="170"/>
      <c r="RAK67" s="170"/>
      <c r="RAL67" s="170"/>
      <c r="RAM67" s="170"/>
      <c r="RAN67" s="170"/>
      <c r="RAO67" s="170"/>
      <c r="RAP67" s="170"/>
      <c r="RAQ67" s="170"/>
      <c r="RAR67" s="170"/>
      <c r="RAS67" s="170"/>
      <c r="RAT67" s="170"/>
      <c r="RAU67" s="170"/>
      <c r="RAV67" s="170"/>
      <c r="RAW67" s="170"/>
      <c r="RAX67" s="170"/>
      <c r="RAY67" s="170"/>
      <c r="RAZ67" s="170"/>
      <c r="RBA67" s="170"/>
      <c r="RBB67" s="170"/>
      <c r="RBC67" s="170"/>
      <c r="RBD67" s="170"/>
      <c r="RBE67" s="170"/>
      <c r="RBF67" s="170"/>
      <c r="RBG67" s="170"/>
      <c r="RBH67" s="170"/>
      <c r="RBI67" s="170"/>
      <c r="RBJ67" s="170"/>
      <c r="RBK67" s="170"/>
      <c r="RBL67" s="170"/>
      <c r="RBM67" s="170"/>
      <c r="RBN67" s="170"/>
      <c r="RBO67" s="170"/>
      <c r="RBP67" s="170"/>
      <c r="RBQ67" s="170"/>
      <c r="RBR67" s="170"/>
      <c r="RBS67" s="170"/>
      <c r="RBT67" s="170"/>
      <c r="RBU67" s="170"/>
      <c r="RBV67" s="170"/>
      <c r="RBW67" s="170"/>
      <c r="RBX67" s="170"/>
      <c r="RBY67" s="170"/>
      <c r="RBZ67" s="170"/>
      <c r="RCA67" s="170"/>
      <c r="RCB67" s="170"/>
      <c r="RCC67" s="170"/>
      <c r="RCD67" s="170"/>
      <c r="RCE67" s="170"/>
      <c r="RCF67" s="170"/>
      <c r="RCG67" s="170"/>
      <c r="RCH67" s="170"/>
      <c r="RCI67" s="170"/>
      <c r="RCJ67" s="170"/>
      <c r="RCK67" s="170"/>
      <c r="RCL67" s="170"/>
      <c r="RCM67" s="170"/>
      <c r="RCN67" s="170"/>
      <c r="RCO67" s="170"/>
      <c r="RCP67" s="170"/>
      <c r="RCQ67" s="170"/>
      <c r="RCR67" s="170"/>
      <c r="RCS67" s="170"/>
      <c r="RCT67" s="170"/>
      <c r="RCU67" s="170"/>
      <c r="RCV67" s="170"/>
      <c r="RCW67" s="170"/>
      <c r="RCX67" s="170"/>
      <c r="RCY67" s="170"/>
      <c r="RCZ67" s="170"/>
      <c r="RDA67" s="170"/>
      <c r="RDB67" s="170"/>
      <c r="RDC67" s="170"/>
      <c r="RDD67" s="170"/>
      <c r="RDE67" s="170"/>
      <c r="RDF67" s="170"/>
      <c r="RDG67" s="170"/>
      <c r="RDH67" s="170"/>
      <c r="RDI67" s="170"/>
      <c r="RDJ67" s="170"/>
      <c r="RDK67" s="170"/>
      <c r="RDL67" s="170"/>
      <c r="RDM67" s="170"/>
      <c r="RDN67" s="170"/>
      <c r="RDO67" s="170"/>
      <c r="RDP67" s="170"/>
      <c r="RDQ67" s="170"/>
      <c r="RDR67" s="170"/>
      <c r="RDS67" s="170"/>
      <c r="RDT67" s="170"/>
      <c r="RDU67" s="170"/>
      <c r="RDV67" s="170"/>
      <c r="RDW67" s="170"/>
      <c r="RDX67" s="170"/>
      <c r="RDY67" s="170"/>
      <c r="RDZ67" s="170"/>
      <c r="REA67" s="170"/>
      <c r="REB67" s="170"/>
      <c r="REC67" s="170"/>
      <c r="RED67" s="170"/>
      <c r="REE67" s="170"/>
      <c r="REF67" s="170"/>
      <c r="REG67" s="170"/>
      <c r="REH67" s="170"/>
      <c r="REI67" s="170"/>
      <c r="REJ67" s="170"/>
      <c r="REK67" s="170"/>
      <c r="REL67" s="170"/>
      <c r="REM67" s="170"/>
      <c r="REN67" s="170"/>
      <c r="REO67" s="170"/>
      <c r="REP67" s="170"/>
      <c r="REQ67" s="170"/>
      <c r="RER67" s="170"/>
      <c r="RES67" s="170"/>
      <c r="RET67" s="170"/>
      <c r="REU67" s="170"/>
      <c r="REV67" s="170"/>
      <c r="REW67" s="170"/>
      <c r="REX67" s="170"/>
      <c r="REY67" s="170"/>
      <c r="REZ67" s="170"/>
      <c r="RFA67" s="170"/>
      <c r="RFB67" s="170"/>
      <c r="RFC67" s="170"/>
      <c r="RFD67" s="170"/>
      <c r="RFE67" s="170"/>
      <c r="RFF67" s="170"/>
      <c r="RFG67" s="170"/>
      <c r="RFH67" s="170"/>
      <c r="RFI67" s="170"/>
      <c r="RFJ67" s="170"/>
      <c r="RFK67" s="170"/>
      <c r="RFL67" s="170"/>
      <c r="RFM67" s="170"/>
      <c r="RFN67" s="170"/>
      <c r="RFO67" s="170"/>
      <c r="RFP67" s="170"/>
      <c r="RFQ67" s="170"/>
      <c r="RFR67" s="170"/>
      <c r="RFS67" s="170"/>
      <c r="RFT67" s="170"/>
      <c r="RFU67" s="170"/>
      <c r="RFV67" s="170"/>
      <c r="RFW67" s="170"/>
      <c r="RFX67" s="170"/>
      <c r="RFY67" s="170"/>
      <c r="RFZ67" s="170"/>
      <c r="RGA67" s="170"/>
      <c r="RGB67" s="170"/>
      <c r="RGC67" s="170"/>
      <c r="RGD67" s="170"/>
      <c r="RGE67" s="170"/>
      <c r="RGF67" s="170"/>
      <c r="RGG67" s="170"/>
      <c r="RGH67" s="170"/>
      <c r="RGI67" s="170"/>
      <c r="RGJ67" s="170"/>
      <c r="RGK67" s="170"/>
      <c r="RGL67" s="170"/>
      <c r="RGM67" s="170"/>
      <c r="RGN67" s="170"/>
      <c r="RGO67" s="170"/>
      <c r="RGP67" s="170"/>
      <c r="RGQ67" s="170"/>
      <c r="RGR67" s="170"/>
      <c r="RGS67" s="170"/>
      <c r="RGT67" s="170"/>
      <c r="RGU67" s="170"/>
      <c r="RGV67" s="170"/>
      <c r="RGW67" s="170"/>
      <c r="RGX67" s="170"/>
      <c r="RGY67" s="170"/>
      <c r="RGZ67" s="170"/>
      <c r="RHA67" s="170"/>
      <c r="RHB67" s="170"/>
      <c r="RHC67" s="170"/>
      <c r="RHD67" s="170"/>
      <c r="RHE67" s="170"/>
      <c r="RHF67" s="170"/>
      <c r="RHG67" s="170"/>
      <c r="RHH67" s="170"/>
      <c r="RHI67" s="170"/>
      <c r="RHJ67" s="170"/>
      <c r="RHK67" s="170"/>
      <c r="RHL67" s="170"/>
      <c r="RHM67" s="170"/>
      <c r="RHN67" s="170"/>
      <c r="RHO67" s="170"/>
      <c r="RHP67" s="170"/>
      <c r="RHQ67" s="170"/>
      <c r="RHR67" s="170"/>
      <c r="RHS67" s="170"/>
      <c r="RHT67" s="170"/>
      <c r="RHU67" s="170"/>
      <c r="RHV67" s="170"/>
      <c r="RHW67" s="170"/>
      <c r="RHX67" s="170"/>
      <c r="RHY67" s="170"/>
      <c r="RHZ67" s="170"/>
      <c r="RIA67" s="170"/>
      <c r="RIB67" s="170"/>
      <c r="RIC67" s="170"/>
      <c r="RID67" s="170"/>
      <c r="RIE67" s="170"/>
      <c r="RIF67" s="170"/>
      <c r="RIG67" s="170"/>
      <c r="RIH67" s="170"/>
      <c r="RII67" s="170"/>
      <c r="RIJ67" s="170"/>
      <c r="RIK67" s="170"/>
      <c r="RIL67" s="170"/>
      <c r="RIM67" s="170"/>
      <c r="RIN67" s="170"/>
      <c r="RIO67" s="170"/>
      <c r="RIP67" s="170"/>
      <c r="RIQ67" s="170"/>
      <c r="RIR67" s="170"/>
      <c r="RIS67" s="170"/>
      <c r="RIT67" s="170"/>
      <c r="RIU67" s="170"/>
      <c r="RIV67" s="170"/>
      <c r="RIW67" s="170"/>
      <c r="RIX67" s="170"/>
      <c r="RIY67" s="170"/>
      <c r="RIZ67" s="170"/>
      <c r="RJA67" s="170"/>
      <c r="RJB67" s="170"/>
      <c r="RJC67" s="170"/>
      <c r="RJD67" s="170"/>
      <c r="RJE67" s="170"/>
      <c r="RJF67" s="170"/>
      <c r="RJG67" s="170"/>
      <c r="RJH67" s="170"/>
      <c r="RJI67" s="170"/>
      <c r="RJJ67" s="170"/>
      <c r="RJK67" s="170"/>
      <c r="RJL67" s="170"/>
      <c r="RJM67" s="170"/>
      <c r="RJN67" s="170"/>
      <c r="RJO67" s="170"/>
      <c r="RJP67" s="170"/>
      <c r="RJQ67" s="170"/>
      <c r="RJR67" s="170"/>
      <c r="RJS67" s="170"/>
      <c r="RJT67" s="170"/>
      <c r="RJU67" s="170"/>
      <c r="RJV67" s="170"/>
      <c r="RJW67" s="170"/>
      <c r="RJX67" s="170"/>
      <c r="RJY67" s="170"/>
      <c r="RJZ67" s="170"/>
      <c r="RKA67" s="170"/>
      <c r="RKB67" s="170"/>
      <c r="RKC67" s="170"/>
      <c r="RKD67" s="170"/>
      <c r="RKE67" s="170"/>
      <c r="RKF67" s="170"/>
      <c r="RKG67" s="170"/>
      <c r="RKH67" s="170"/>
      <c r="RKI67" s="170"/>
      <c r="RKJ67" s="170"/>
      <c r="RKK67" s="170"/>
      <c r="RKL67" s="170"/>
      <c r="RKM67" s="170"/>
      <c r="RKN67" s="170"/>
      <c r="RKO67" s="170"/>
      <c r="RKP67" s="170"/>
      <c r="RKQ67" s="170"/>
      <c r="RKR67" s="170"/>
      <c r="RKS67" s="170"/>
      <c r="RKT67" s="170"/>
      <c r="RKU67" s="170"/>
      <c r="RKV67" s="170"/>
      <c r="RKW67" s="170"/>
      <c r="RKX67" s="170"/>
      <c r="RKY67" s="170"/>
      <c r="RKZ67" s="170"/>
      <c r="RLA67" s="170"/>
      <c r="RLB67" s="170"/>
      <c r="RLC67" s="170"/>
      <c r="RLD67" s="170"/>
      <c r="RLE67" s="170"/>
      <c r="RLF67" s="170"/>
      <c r="RLG67" s="170"/>
      <c r="RLH67" s="170"/>
      <c r="RLI67" s="170"/>
      <c r="RLJ67" s="170"/>
      <c r="RLK67" s="170"/>
      <c r="RLL67" s="170"/>
      <c r="RLM67" s="170"/>
      <c r="RLN67" s="170"/>
      <c r="RLO67" s="170"/>
      <c r="RLP67" s="170"/>
      <c r="RLQ67" s="170"/>
      <c r="RLR67" s="170"/>
      <c r="RLS67" s="170"/>
      <c r="RLT67" s="170"/>
      <c r="RLU67" s="170"/>
      <c r="RLV67" s="170"/>
      <c r="RLW67" s="170"/>
      <c r="RLX67" s="170"/>
      <c r="RLY67" s="170"/>
      <c r="RLZ67" s="170"/>
      <c r="RMA67" s="170"/>
      <c r="RMB67" s="170"/>
      <c r="RMC67" s="170"/>
      <c r="RMD67" s="170"/>
      <c r="RME67" s="170"/>
      <c r="RMF67" s="170"/>
      <c r="RMG67" s="170"/>
      <c r="RMH67" s="170"/>
      <c r="RMI67" s="170"/>
      <c r="RMJ67" s="170"/>
      <c r="RMK67" s="170"/>
      <c r="RML67" s="170"/>
      <c r="RMM67" s="170"/>
      <c r="RMN67" s="170"/>
      <c r="RMO67" s="170"/>
      <c r="RMP67" s="170"/>
      <c r="RMQ67" s="170"/>
      <c r="RMR67" s="170"/>
      <c r="RMS67" s="170"/>
      <c r="RMT67" s="170"/>
      <c r="RMU67" s="170"/>
      <c r="RMV67" s="170"/>
      <c r="RMW67" s="170"/>
      <c r="RMX67" s="170"/>
      <c r="RMY67" s="170"/>
      <c r="RMZ67" s="170"/>
      <c r="RNA67" s="170"/>
      <c r="RNB67" s="170"/>
      <c r="RNC67" s="170"/>
      <c r="RND67" s="170"/>
      <c r="RNE67" s="170"/>
      <c r="RNF67" s="170"/>
      <c r="RNG67" s="170"/>
      <c r="RNH67" s="170"/>
      <c r="RNI67" s="170"/>
      <c r="RNJ67" s="170"/>
      <c r="RNK67" s="170"/>
      <c r="RNL67" s="170"/>
      <c r="RNM67" s="170"/>
      <c r="RNN67" s="170"/>
      <c r="RNO67" s="170"/>
      <c r="RNP67" s="170"/>
      <c r="RNQ67" s="170"/>
      <c r="RNR67" s="170"/>
      <c r="RNS67" s="170"/>
      <c r="RNT67" s="170"/>
      <c r="RNU67" s="170"/>
      <c r="RNV67" s="170"/>
      <c r="RNW67" s="170"/>
      <c r="RNX67" s="170"/>
      <c r="RNY67" s="170"/>
      <c r="RNZ67" s="170"/>
      <c r="ROA67" s="170"/>
      <c r="ROB67" s="170"/>
      <c r="ROC67" s="170"/>
      <c r="ROD67" s="170"/>
      <c r="ROE67" s="170"/>
      <c r="ROF67" s="170"/>
      <c r="ROG67" s="170"/>
      <c r="ROH67" s="170"/>
      <c r="ROI67" s="170"/>
      <c r="ROJ67" s="170"/>
      <c r="ROK67" s="170"/>
      <c r="ROL67" s="170"/>
      <c r="ROM67" s="170"/>
      <c r="RON67" s="170"/>
      <c r="ROO67" s="170"/>
      <c r="ROP67" s="170"/>
      <c r="ROQ67" s="170"/>
      <c r="ROR67" s="170"/>
      <c r="ROS67" s="170"/>
      <c r="ROT67" s="170"/>
      <c r="ROU67" s="170"/>
      <c r="ROV67" s="170"/>
      <c r="ROW67" s="170"/>
      <c r="ROX67" s="170"/>
      <c r="ROY67" s="170"/>
      <c r="ROZ67" s="170"/>
      <c r="RPA67" s="170"/>
      <c r="RPB67" s="170"/>
      <c r="RPC67" s="170"/>
      <c r="RPD67" s="170"/>
      <c r="RPE67" s="170"/>
      <c r="RPF67" s="170"/>
      <c r="RPG67" s="170"/>
      <c r="RPH67" s="170"/>
      <c r="RPI67" s="170"/>
      <c r="RPJ67" s="170"/>
      <c r="RPK67" s="170"/>
      <c r="RPL67" s="170"/>
      <c r="RPM67" s="170"/>
      <c r="RPN67" s="170"/>
      <c r="RPO67" s="170"/>
      <c r="RPP67" s="170"/>
      <c r="RPQ67" s="170"/>
      <c r="RPR67" s="170"/>
      <c r="RPS67" s="170"/>
      <c r="RPT67" s="170"/>
      <c r="RPU67" s="170"/>
      <c r="RPV67" s="170"/>
      <c r="RPW67" s="170"/>
      <c r="RPX67" s="170"/>
      <c r="RPY67" s="170"/>
      <c r="RPZ67" s="170"/>
      <c r="RQA67" s="170"/>
      <c r="RQB67" s="170"/>
      <c r="RQC67" s="170"/>
      <c r="RQD67" s="170"/>
      <c r="RQE67" s="170"/>
      <c r="RQF67" s="170"/>
      <c r="RQG67" s="170"/>
      <c r="RQH67" s="170"/>
      <c r="RQI67" s="170"/>
      <c r="RQJ67" s="170"/>
      <c r="RQK67" s="170"/>
      <c r="RQL67" s="170"/>
      <c r="RQM67" s="170"/>
      <c r="RQN67" s="170"/>
      <c r="RQO67" s="170"/>
      <c r="RQP67" s="170"/>
      <c r="RQQ67" s="170"/>
      <c r="RQR67" s="170"/>
      <c r="RQS67" s="170"/>
      <c r="RQT67" s="170"/>
      <c r="RQU67" s="170"/>
      <c r="RQV67" s="170"/>
      <c r="RQW67" s="170"/>
      <c r="RQX67" s="170"/>
      <c r="RQY67" s="170"/>
      <c r="RQZ67" s="170"/>
      <c r="RRA67" s="170"/>
      <c r="RRB67" s="170"/>
      <c r="RRC67" s="170"/>
      <c r="RRD67" s="170"/>
      <c r="RRE67" s="170"/>
      <c r="RRF67" s="170"/>
      <c r="RRG67" s="170"/>
      <c r="RRH67" s="170"/>
      <c r="RRI67" s="170"/>
      <c r="RRJ67" s="170"/>
      <c r="RRK67" s="170"/>
      <c r="RRL67" s="170"/>
      <c r="RRM67" s="170"/>
      <c r="RRN67" s="170"/>
      <c r="RRO67" s="170"/>
      <c r="RRP67" s="170"/>
      <c r="RRQ67" s="170"/>
      <c r="RRR67" s="170"/>
      <c r="RRS67" s="170"/>
      <c r="RRT67" s="170"/>
      <c r="RRU67" s="170"/>
      <c r="RRV67" s="170"/>
      <c r="RRW67" s="170"/>
      <c r="RRX67" s="170"/>
      <c r="RRY67" s="170"/>
      <c r="RRZ67" s="170"/>
      <c r="RSA67" s="170"/>
      <c r="RSB67" s="170"/>
      <c r="RSC67" s="170"/>
      <c r="RSD67" s="170"/>
      <c r="RSE67" s="170"/>
      <c r="RSF67" s="170"/>
      <c r="RSG67" s="170"/>
      <c r="RSH67" s="170"/>
      <c r="RSI67" s="170"/>
      <c r="RSJ67" s="170"/>
      <c r="RSK67" s="170"/>
      <c r="RSL67" s="170"/>
      <c r="RSM67" s="170"/>
      <c r="RSN67" s="170"/>
      <c r="RSO67" s="170"/>
      <c r="RSP67" s="170"/>
      <c r="RSQ67" s="170"/>
      <c r="RSR67" s="170"/>
      <c r="RSS67" s="170"/>
      <c r="RST67" s="170"/>
      <c r="RSU67" s="170"/>
      <c r="RSV67" s="170"/>
      <c r="RSW67" s="170"/>
      <c r="RSX67" s="170"/>
      <c r="RSY67" s="170"/>
      <c r="RSZ67" s="170"/>
      <c r="RTA67" s="170"/>
      <c r="RTB67" s="170"/>
      <c r="RTC67" s="170"/>
      <c r="RTD67" s="170"/>
      <c r="RTE67" s="170"/>
      <c r="RTF67" s="170"/>
      <c r="RTG67" s="170"/>
      <c r="RTH67" s="170"/>
      <c r="RTI67" s="170"/>
      <c r="RTJ67" s="170"/>
      <c r="RTK67" s="170"/>
      <c r="RTL67" s="170"/>
      <c r="RTM67" s="170"/>
      <c r="RTN67" s="170"/>
      <c r="RTO67" s="170"/>
      <c r="RTP67" s="170"/>
      <c r="RTQ67" s="170"/>
      <c r="RTR67" s="170"/>
      <c r="RTS67" s="170"/>
      <c r="RTT67" s="170"/>
      <c r="RTU67" s="170"/>
      <c r="RTV67" s="170"/>
      <c r="RTW67" s="170"/>
      <c r="RTX67" s="170"/>
      <c r="RTY67" s="170"/>
      <c r="RTZ67" s="170"/>
      <c r="RUA67" s="170"/>
      <c r="RUB67" s="170"/>
      <c r="RUC67" s="170"/>
      <c r="RUD67" s="170"/>
      <c r="RUE67" s="170"/>
      <c r="RUF67" s="170"/>
      <c r="RUG67" s="170"/>
      <c r="RUH67" s="170"/>
      <c r="RUI67" s="170"/>
      <c r="RUJ67" s="170"/>
      <c r="RUK67" s="170"/>
      <c r="RUL67" s="170"/>
      <c r="RUM67" s="170"/>
      <c r="RUN67" s="170"/>
      <c r="RUO67" s="170"/>
      <c r="RUP67" s="170"/>
      <c r="RUQ67" s="170"/>
      <c r="RUR67" s="170"/>
      <c r="RUS67" s="170"/>
      <c r="RUT67" s="170"/>
      <c r="RUU67" s="170"/>
      <c r="RUV67" s="170"/>
      <c r="RUW67" s="170"/>
      <c r="RUX67" s="170"/>
      <c r="RUY67" s="170"/>
      <c r="RUZ67" s="170"/>
      <c r="RVA67" s="170"/>
      <c r="RVB67" s="170"/>
      <c r="RVC67" s="170"/>
      <c r="RVD67" s="170"/>
      <c r="RVE67" s="170"/>
      <c r="RVF67" s="170"/>
      <c r="RVG67" s="170"/>
      <c r="RVH67" s="170"/>
      <c r="RVI67" s="170"/>
      <c r="RVJ67" s="170"/>
      <c r="RVK67" s="170"/>
      <c r="RVL67" s="170"/>
      <c r="RVM67" s="170"/>
      <c r="RVN67" s="170"/>
      <c r="RVO67" s="170"/>
      <c r="RVP67" s="170"/>
      <c r="RVQ67" s="170"/>
      <c r="RVR67" s="170"/>
      <c r="RVS67" s="170"/>
      <c r="RVT67" s="170"/>
      <c r="RVU67" s="170"/>
      <c r="RVV67" s="170"/>
      <c r="RVW67" s="170"/>
      <c r="RVX67" s="170"/>
      <c r="RVY67" s="170"/>
      <c r="RVZ67" s="170"/>
      <c r="RWA67" s="170"/>
      <c r="RWB67" s="170"/>
      <c r="RWC67" s="170"/>
      <c r="RWD67" s="170"/>
      <c r="RWE67" s="170"/>
      <c r="RWF67" s="170"/>
      <c r="RWG67" s="170"/>
      <c r="RWH67" s="170"/>
      <c r="RWI67" s="170"/>
      <c r="RWJ67" s="170"/>
      <c r="RWK67" s="170"/>
      <c r="RWL67" s="170"/>
      <c r="RWM67" s="170"/>
      <c r="RWN67" s="170"/>
      <c r="RWO67" s="170"/>
      <c r="RWP67" s="170"/>
      <c r="RWQ67" s="170"/>
      <c r="RWR67" s="170"/>
      <c r="RWS67" s="170"/>
      <c r="RWT67" s="170"/>
      <c r="RWU67" s="170"/>
      <c r="RWV67" s="170"/>
      <c r="RWW67" s="170"/>
      <c r="RWX67" s="170"/>
      <c r="RWY67" s="170"/>
      <c r="RWZ67" s="170"/>
      <c r="RXA67" s="170"/>
      <c r="RXB67" s="170"/>
      <c r="RXC67" s="170"/>
      <c r="RXD67" s="170"/>
      <c r="RXE67" s="170"/>
      <c r="RXF67" s="170"/>
      <c r="RXG67" s="170"/>
      <c r="RXH67" s="170"/>
      <c r="RXI67" s="170"/>
      <c r="RXJ67" s="170"/>
      <c r="RXK67" s="170"/>
      <c r="RXL67" s="170"/>
      <c r="RXM67" s="170"/>
      <c r="RXN67" s="170"/>
      <c r="RXO67" s="170"/>
      <c r="RXP67" s="170"/>
      <c r="RXQ67" s="170"/>
      <c r="RXR67" s="170"/>
      <c r="RXS67" s="170"/>
      <c r="RXT67" s="170"/>
      <c r="RXU67" s="170"/>
      <c r="RXV67" s="170"/>
      <c r="RXW67" s="170"/>
      <c r="RXX67" s="170"/>
      <c r="RXY67" s="170"/>
      <c r="RXZ67" s="170"/>
      <c r="RYA67" s="170"/>
      <c r="RYB67" s="170"/>
      <c r="RYC67" s="170"/>
      <c r="RYD67" s="170"/>
      <c r="RYE67" s="170"/>
      <c r="RYF67" s="170"/>
      <c r="RYG67" s="170"/>
      <c r="RYH67" s="170"/>
      <c r="RYI67" s="170"/>
      <c r="RYJ67" s="170"/>
      <c r="RYK67" s="170"/>
      <c r="RYL67" s="170"/>
      <c r="RYM67" s="170"/>
      <c r="RYN67" s="170"/>
      <c r="RYO67" s="170"/>
      <c r="RYP67" s="170"/>
      <c r="RYQ67" s="170"/>
      <c r="RYR67" s="170"/>
      <c r="RYS67" s="170"/>
      <c r="RYT67" s="170"/>
      <c r="RYU67" s="170"/>
      <c r="RYV67" s="170"/>
      <c r="RYW67" s="170"/>
      <c r="RYX67" s="170"/>
      <c r="RYY67" s="170"/>
      <c r="RYZ67" s="170"/>
      <c r="RZA67" s="170"/>
      <c r="RZB67" s="170"/>
      <c r="RZC67" s="170"/>
      <c r="RZD67" s="170"/>
      <c r="RZE67" s="170"/>
      <c r="RZF67" s="170"/>
      <c r="RZG67" s="170"/>
      <c r="RZH67" s="170"/>
      <c r="RZI67" s="170"/>
      <c r="RZJ67" s="170"/>
      <c r="RZK67" s="170"/>
      <c r="RZL67" s="170"/>
      <c r="RZM67" s="170"/>
      <c r="RZN67" s="170"/>
      <c r="RZO67" s="170"/>
      <c r="RZP67" s="170"/>
      <c r="RZQ67" s="170"/>
      <c r="RZR67" s="170"/>
      <c r="RZS67" s="170"/>
      <c r="RZT67" s="170"/>
      <c r="RZU67" s="170"/>
      <c r="RZV67" s="170"/>
      <c r="RZW67" s="170"/>
      <c r="RZX67" s="170"/>
      <c r="RZY67" s="170"/>
      <c r="RZZ67" s="170"/>
      <c r="SAA67" s="170"/>
      <c r="SAB67" s="170"/>
      <c r="SAC67" s="170"/>
      <c r="SAD67" s="170"/>
      <c r="SAE67" s="170"/>
      <c r="SAF67" s="170"/>
      <c r="SAG67" s="170"/>
      <c r="SAH67" s="170"/>
      <c r="SAI67" s="170"/>
      <c r="SAJ67" s="170"/>
      <c r="SAK67" s="170"/>
      <c r="SAL67" s="170"/>
      <c r="SAM67" s="170"/>
      <c r="SAN67" s="170"/>
      <c r="SAO67" s="170"/>
      <c r="SAP67" s="170"/>
      <c r="SAQ67" s="170"/>
      <c r="SAR67" s="170"/>
      <c r="SAS67" s="170"/>
      <c r="SAT67" s="170"/>
      <c r="SAU67" s="170"/>
      <c r="SAV67" s="170"/>
      <c r="SAW67" s="170"/>
      <c r="SAX67" s="170"/>
      <c r="SAY67" s="170"/>
      <c r="SAZ67" s="170"/>
      <c r="SBA67" s="170"/>
      <c r="SBB67" s="170"/>
      <c r="SBC67" s="170"/>
      <c r="SBD67" s="170"/>
      <c r="SBE67" s="170"/>
      <c r="SBF67" s="170"/>
      <c r="SBG67" s="170"/>
      <c r="SBH67" s="170"/>
      <c r="SBI67" s="170"/>
      <c r="SBJ67" s="170"/>
      <c r="SBK67" s="170"/>
      <c r="SBL67" s="170"/>
      <c r="SBM67" s="170"/>
      <c r="SBN67" s="170"/>
      <c r="SBO67" s="170"/>
      <c r="SBP67" s="170"/>
      <c r="SBQ67" s="170"/>
      <c r="SBR67" s="170"/>
      <c r="SBS67" s="170"/>
      <c r="SBT67" s="170"/>
      <c r="SBU67" s="170"/>
      <c r="SBV67" s="170"/>
      <c r="SBW67" s="170"/>
      <c r="SBX67" s="170"/>
      <c r="SBY67" s="170"/>
      <c r="SBZ67" s="170"/>
      <c r="SCA67" s="170"/>
      <c r="SCB67" s="170"/>
      <c r="SCC67" s="170"/>
      <c r="SCD67" s="170"/>
      <c r="SCE67" s="170"/>
      <c r="SCF67" s="170"/>
      <c r="SCG67" s="170"/>
      <c r="SCH67" s="170"/>
      <c r="SCI67" s="170"/>
      <c r="SCJ67" s="170"/>
      <c r="SCK67" s="170"/>
      <c r="SCL67" s="170"/>
      <c r="SCM67" s="170"/>
      <c r="SCN67" s="170"/>
      <c r="SCO67" s="170"/>
      <c r="SCP67" s="170"/>
      <c r="SCQ67" s="170"/>
      <c r="SCR67" s="170"/>
      <c r="SCS67" s="170"/>
      <c r="SCT67" s="170"/>
      <c r="SCU67" s="170"/>
      <c r="SCV67" s="170"/>
      <c r="SCW67" s="170"/>
      <c r="SCX67" s="170"/>
      <c r="SCY67" s="170"/>
      <c r="SCZ67" s="170"/>
      <c r="SDA67" s="170"/>
      <c r="SDB67" s="170"/>
      <c r="SDC67" s="170"/>
      <c r="SDD67" s="170"/>
      <c r="SDE67" s="170"/>
      <c r="SDF67" s="170"/>
      <c r="SDG67" s="170"/>
      <c r="SDH67" s="170"/>
      <c r="SDI67" s="170"/>
      <c r="SDJ67" s="170"/>
      <c r="SDK67" s="170"/>
      <c r="SDL67" s="170"/>
      <c r="SDM67" s="170"/>
      <c r="SDN67" s="170"/>
      <c r="SDO67" s="170"/>
      <c r="SDP67" s="170"/>
      <c r="SDQ67" s="170"/>
      <c r="SDR67" s="170"/>
      <c r="SDS67" s="170"/>
      <c r="SDT67" s="170"/>
      <c r="SDU67" s="170"/>
      <c r="SDV67" s="170"/>
      <c r="SDW67" s="170"/>
      <c r="SDX67" s="170"/>
      <c r="SDY67" s="170"/>
      <c r="SDZ67" s="170"/>
      <c r="SEA67" s="170"/>
      <c r="SEB67" s="170"/>
      <c r="SEC67" s="170"/>
      <c r="SED67" s="170"/>
      <c r="SEE67" s="170"/>
      <c r="SEF67" s="170"/>
      <c r="SEG67" s="170"/>
      <c r="SEH67" s="170"/>
      <c r="SEI67" s="170"/>
      <c r="SEJ67" s="170"/>
      <c r="SEK67" s="170"/>
      <c r="SEL67" s="170"/>
      <c r="SEM67" s="170"/>
      <c r="SEN67" s="170"/>
      <c r="SEO67" s="170"/>
      <c r="SEP67" s="170"/>
      <c r="SEQ67" s="170"/>
      <c r="SER67" s="170"/>
      <c r="SES67" s="170"/>
      <c r="SET67" s="170"/>
      <c r="SEU67" s="170"/>
      <c r="SEV67" s="170"/>
      <c r="SEW67" s="170"/>
      <c r="SEX67" s="170"/>
      <c r="SEY67" s="170"/>
      <c r="SEZ67" s="170"/>
      <c r="SFA67" s="170"/>
      <c r="SFB67" s="170"/>
      <c r="SFC67" s="170"/>
      <c r="SFD67" s="170"/>
      <c r="SFE67" s="170"/>
      <c r="SFF67" s="170"/>
      <c r="SFG67" s="170"/>
      <c r="SFH67" s="170"/>
      <c r="SFI67" s="170"/>
      <c r="SFJ67" s="170"/>
      <c r="SFK67" s="170"/>
      <c r="SFL67" s="170"/>
      <c r="SFM67" s="170"/>
      <c r="SFN67" s="170"/>
      <c r="SFO67" s="170"/>
      <c r="SFP67" s="170"/>
      <c r="SFQ67" s="170"/>
      <c r="SFR67" s="170"/>
      <c r="SFS67" s="170"/>
      <c r="SFT67" s="170"/>
      <c r="SFU67" s="170"/>
      <c r="SFV67" s="170"/>
      <c r="SFW67" s="170"/>
      <c r="SFX67" s="170"/>
      <c r="SFY67" s="170"/>
      <c r="SFZ67" s="170"/>
      <c r="SGA67" s="170"/>
      <c r="SGB67" s="170"/>
      <c r="SGC67" s="170"/>
      <c r="SGD67" s="170"/>
      <c r="SGE67" s="170"/>
      <c r="SGF67" s="170"/>
      <c r="SGG67" s="170"/>
      <c r="SGH67" s="170"/>
      <c r="SGI67" s="170"/>
      <c r="SGJ67" s="170"/>
      <c r="SGK67" s="170"/>
      <c r="SGL67" s="170"/>
      <c r="SGM67" s="170"/>
      <c r="SGN67" s="170"/>
      <c r="SGO67" s="170"/>
      <c r="SGP67" s="170"/>
      <c r="SGQ67" s="170"/>
      <c r="SGR67" s="170"/>
      <c r="SGS67" s="170"/>
      <c r="SGT67" s="170"/>
      <c r="SGU67" s="170"/>
      <c r="SGV67" s="170"/>
      <c r="SGW67" s="170"/>
      <c r="SGX67" s="170"/>
      <c r="SGY67" s="170"/>
      <c r="SGZ67" s="170"/>
      <c r="SHA67" s="170"/>
      <c r="SHB67" s="170"/>
      <c r="SHC67" s="170"/>
      <c r="SHD67" s="170"/>
      <c r="SHE67" s="170"/>
      <c r="SHF67" s="170"/>
      <c r="SHG67" s="170"/>
      <c r="SHH67" s="170"/>
      <c r="SHI67" s="170"/>
      <c r="SHJ67" s="170"/>
      <c r="SHK67" s="170"/>
      <c r="SHL67" s="170"/>
      <c r="SHM67" s="170"/>
      <c r="SHN67" s="170"/>
      <c r="SHO67" s="170"/>
      <c r="SHP67" s="170"/>
      <c r="SHQ67" s="170"/>
      <c r="SHR67" s="170"/>
      <c r="SHS67" s="170"/>
      <c r="SHT67" s="170"/>
      <c r="SHU67" s="170"/>
      <c r="SHV67" s="170"/>
      <c r="SHW67" s="170"/>
      <c r="SHX67" s="170"/>
      <c r="SHY67" s="170"/>
      <c r="SHZ67" s="170"/>
      <c r="SIA67" s="170"/>
      <c r="SIB67" s="170"/>
      <c r="SIC67" s="170"/>
      <c r="SID67" s="170"/>
      <c r="SIE67" s="170"/>
      <c r="SIF67" s="170"/>
      <c r="SIG67" s="170"/>
      <c r="SIH67" s="170"/>
      <c r="SII67" s="170"/>
      <c r="SIJ67" s="170"/>
      <c r="SIK67" s="170"/>
      <c r="SIL67" s="170"/>
      <c r="SIM67" s="170"/>
      <c r="SIN67" s="170"/>
      <c r="SIO67" s="170"/>
      <c r="SIP67" s="170"/>
      <c r="SIQ67" s="170"/>
      <c r="SIR67" s="170"/>
      <c r="SIS67" s="170"/>
      <c r="SIT67" s="170"/>
      <c r="SIU67" s="170"/>
      <c r="SIV67" s="170"/>
      <c r="SIW67" s="170"/>
      <c r="SIX67" s="170"/>
      <c r="SIY67" s="170"/>
      <c r="SIZ67" s="170"/>
      <c r="SJA67" s="170"/>
      <c r="SJB67" s="170"/>
      <c r="SJC67" s="170"/>
      <c r="SJD67" s="170"/>
      <c r="SJE67" s="170"/>
      <c r="SJF67" s="170"/>
      <c r="SJG67" s="170"/>
      <c r="SJH67" s="170"/>
      <c r="SJI67" s="170"/>
      <c r="SJJ67" s="170"/>
      <c r="SJK67" s="170"/>
      <c r="SJL67" s="170"/>
      <c r="SJM67" s="170"/>
      <c r="SJN67" s="170"/>
      <c r="SJO67" s="170"/>
      <c r="SJP67" s="170"/>
      <c r="SJQ67" s="170"/>
      <c r="SJR67" s="170"/>
      <c r="SJS67" s="170"/>
      <c r="SJT67" s="170"/>
      <c r="SJU67" s="170"/>
      <c r="SJV67" s="170"/>
      <c r="SJW67" s="170"/>
      <c r="SJX67" s="170"/>
      <c r="SJY67" s="170"/>
      <c r="SJZ67" s="170"/>
      <c r="SKA67" s="170"/>
      <c r="SKB67" s="170"/>
      <c r="SKC67" s="170"/>
      <c r="SKD67" s="170"/>
      <c r="SKE67" s="170"/>
      <c r="SKF67" s="170"/>
      <c r="SKG67" s="170"/>
      <c r="SKH67" s="170"/>
      <c r="SKI67" s="170"/>
      <c r="SKJ67" s="170"/>
      <c r="SKK67" s="170"/>
      <c r="SKL67" s="170"/>
      <c r="SKM67" s="170"/>
      <c r="SKN67" s="170"/>
      <c r="SKO67" s="170"/>
      <c r="SKP67" s="170"/>
      <c r="SKQ67" s="170"/>
      <c r="SKR67" s="170"/>
      <c r="SKS67" s="170"/>
      <c r="SKT67" s="170"/>
      <c r="SKU67" s="170"/>
      <c r="SKV67" s="170"/>
      <c r="SKW67" s="170"/>
      <c r="SKX67" s="170"/>
      <c r="SKY67" s="170"/>
      <c r="SKZ67" s="170"/>
      <c r="SLA67" s="170"/>
      <c r="SLB67" s="170"/>
      <c r="SLC67" s="170"/>
      <c r="SLD67" s="170"/>
      <c r="SLE67" s="170"/>
      <c r="SLF67" s="170"/>
      <c r="SLG67" s="170"/>
      <c r="SLH67" s="170"/>
      <c r="SLI67" s="170"/>
      <c r="SLJ67" s="170"/>
      <c r="SLK67" s="170"/>
      <c r="SLL67" s="170"/>
      <c r="SLM67" s="170"/>
      <c r="SLN67" s="170"/>
      <c r="SLO67" s="170"/>
      <c r="SLP67" s="170"/>
      <c r="SLQ67" s="170"/>
      <c r="SLR67" s="170"/>
      <c r="SLS67" s="170"/>
      <c r="SLT67" s="170"/>
      <c r="SLU67" s="170"/>
      <c r="SLV67" s="170"/>
      <c r="SLW67" s="170"/>
      <c r="SLX67" s="170"/>
      <c r="SLY67" s="170"/>
      <c r="SLZ67" s="170"/>
      <c r="SMA67" s="170"/>
      <c r="SMB67" s="170"/>
      <c r="SMC67" s="170"/>
      <c r="SMD67" s="170"/>
      <c r="SME67" s="170"/>
      <c r="SMF67" s="170"/>
      <c r="SMG67" s="170"/>
      <c r="SMH67" s="170"/>
      <c r="SMI67" s="170"/>
      <c r="SMJ67" s="170"/>
      <c r="SMK67" s="170"/>
      <c r="SML67" s="170"/>
      <c r="SMM67" s="170"/>
      <c r="SMN67" s="170"/>
      <c r="SMO67" s="170"/>
      <c r="SMP67" s="170"/>
      <c r="SMQ67" s="170"/>
      <c r="SMR67" s="170"/>
      <c r="SMS67" s="170"/>
      <c r="SMT67" s="170"/>
      <c r="SMU67" s="170"/>
      <c r="SMV67" s="170"/>
      <c r="SMW67" s="170"/>
      <c r="SMX67" s="170"/>
      <c r="SMY67" s="170"/>
      <c r="SMZ67" s="170"/>
      <c r="SNA67" s="170"/>
      <c r="SNB67" s="170"/>
      <c r="SNC67" s="170"/>
      <c r="SND67" s="170"/>
      <c r="SNE67" s="170"/>
      <c r="SNF67" s="170"/>
      <c r="SNG67" s="170"/>
      <c r="SNH67" s="170"/>
      <c r="SNI67" s="170"/>
      <c r="SNJ67" s="170"/>
      <c r="SNK67" s="170"/>
      <c r="SNL67" s="170"/>
      <c r="SNM67" s="170"/>
      <c r="SNN67" s="170"/>
      <c r="SNO67" s="170"/>
      <c r="SNP67" s="170"/>
      <c r="SNQ67" s="170"/>
      <c r="SNR67" s="170"/>
      <c r="SNS67" s="170"/>
      <c r="SNT67" s="170"/>
      <c r="SNU67" s="170"/>
      <c r="SNV67" s="170"/>
      <c r="SNW67" s="170"/>
      <c r="SNX67" s="170"/>
      <c r="SNY67" s="170"/>
      <c r="SNZ67" s="170"/>
      <c r="SOA67" s="170"/>
      <c r="SOB67" s="170"/>
      <c r="SOC67" s="170"/>
      <c r="SOD67" s="170"/>
      <c r="SOE67" s="170"/>
      <c r="SOF67" s="170"/>
      <c r="SOG67" s="170"/>
      <c r="SOH67" s="170"/>
      <c r="SOI67" s="170"/>
      <c r="SOJ67" s="170"/>
      <c r="SOK67" s="170"/>
      <c r="SOL67" s="170"/>
      <c r="SOM67" s="170"/>
      <c r="SON67" s="170"/>
      <c r="SOO67" s="170"/>
      <c r="SOP67" s="170"/>
      <c r="SOQ67" s="170"/>
      <c r="SOR67" s="170"/>
      <c r="SOS67" s="170"/>
      <c r="SOT67" s="170"/>
      <c r="SOU67" s="170"/>
      <c r="SOV67" s="170"/>
      <c r="SOW67" s="170"/>
      <c r="SOX67" s="170"/>
      <c r="SOY67" s="170"/>
      <c r="SOZ67" s="170"/>
      <c r="SPA67" s="170"/>
      <c r="SPB67" s="170"/>
      <c r="SPC67" s="170"/>
      <c r="SPD67" s="170"/>
      <c r="SPE67" s="170"/>
      <c r="SPF67" s="170"/>
      <c r="SPG67" s="170"/>
      <c r="SPH67" s="170"/>
      <c r="SPI67" s="170"/>
      <c r="SPJ67" s="170"/>
      <c r="SPK67" s="170"/>
      <c r="SPL67" s="170"/>
      <c r="SPM67" s="170"/>
      <c r="SPN67" s="170"/>
      <c r="SPO67" s="170"/>
      <c r="SPP67" s="170"/>
      <c r="SPQ67" s="170"/>
      <c r="SPR67" s="170"/>
      <c r="SPS67" s="170"/>
      <c r="SPT67" s="170"/>
      <c r="SPU67" s="170"/>
      <c r="SPV67" s="170"/>
      <c r="SPW67" s="170"/>
      <c r="SPX67" s="170"/>
      <c r="SPY67" s="170"/>
      <c r="SPZ67" s="170"/>
      <c r="SQA67" s="170"/>
      <c r="SQB67" s="170"/>
      <c r="SQC67" s="170"/>
      <c r="SQD67" s="170"/>
      <c r="SQE67" s="170"/>
      <c r="SQF67" s="170"/>
      <c r="SQG67" s="170"/>
      <c r="SQH67" s="170"/>
      <c r="SQI67" s="170"/>
      <c r="SQJ67" s="170"/>
      <c r="SQK67" s="170"/>
      <c r="SQL67" s="170"/>
      <c r="SQM67" s="170"/>
      <c r="SQN67" s="170"/>
      <c r="SQO67" s="170"/>
      <c r="SQP67" s="170"/>
      <c r="SQQ67" s="170"/>
      <c r="SQR67" s="170"/>
      <c r="SQS67" s="170"/>
      <c r="SQT67" s="170"/>
      <c r="SQU67" s="170"/>
      <c r="SQV67" s="170"/>
      <c r="SQW67" s="170"/>
      <c r="SQX67" s="170"/>
      <c r="SQY67" s="170"/>
      <c r="SQZ67" s="170"/>
      <c r="SRA67" s="170"/>
      <c r="SRB67" s="170"/>
      <c r="SRC67" s="170"/>
      <c r="SRD67" s="170"/>
      <c r="SRE67" s="170"/>
      <c r="SRF67" s="170"/>
      <c r="SRG67" s="170"/>
      <c r="SRH67" s="170"/>
      <c r="SRI67" s="170"/>
      <c r="SRJ67" s="170"/>
      <c r="SRK67" s="170"/>
      <c r="SRL67" s="170"/>
      <c r="SRM67" s="170"/>
      <c r="SRN67" s="170"/>
      <c r="SRO67" s="170"/>
      <c r="SRP67" s="170"/>
      <c r="SRQ67" s="170"/>
      <c r="SRR67" s="170"/>
      <c r="SRS67" s="170"/>
      <c r="SRT67" s="170"/>
      <c r="SRU67" s="170"/>
      <c r="SRV67" s="170"/>
      <c r="SRW67" s="170"/>
      <c r="SRX67" s="170"/>
      <c r="SRY67" s="170"/>
      <c r="SRZ67" s="170"/>
      <c r="SSA67" s="170"/>
      <c r="SSB67" s="170"/>
      <c r="SSC67" s="170"/>
      <c r="SSD67" s="170"/>
      <c r="SSE67" s="170"/>
      <c r="SSF67" s="170"/>
      <c r="SSG67" s="170"/>
      <c r="SSH67" s="170"/>
      <c r="SSI67" s="170"/>
      <c r="SSJ67" s="170"/>
      <c r="SSK67" s="170"/>
      <c r="SSL67" s="170"/>
      <c r="SSM67" s="170"/>
      <c r="SSN67" s="170"/>
      <c r="SSO67" s="170"/>
      <c r="SSP67" s="170"/>
      <c r="SSQ67" s="170"/>
      <c r="SSR67" s="170"/>
      <c r="SSS67" s="170"/>
      <c r="SST67" s="170"/>
      <c r="SSU67" s="170"/>
      <c r="SSV67" s="170"/>
      <c r="SSW67" s="170"/>
      <c r="SSX67" s="170"/>
      <c r="SSY67" s="170"/>
      <c r="SSZ67" s="170"/>
      <c r="STA67" s="170"/>
      <c r="STB67" s="170"/>
      <c r="STC67" s="170"/>
      <c r="STD67" s="170"/>
      <c r="STE67" s="170"/>
      <c r="STF67" s="170"/>
      <c r="STG67" s="170"/>
      <c r="STH67" s="170"/>
      <c r="STI67" s="170"/>
      <c r="STJ67" s="170"/>
      <c r="STK67" s="170"/>
      <c r="STL67" s="170"/>
      <c r="STM67" s="170"/>
      <c r="STN67" s="170"/>
      <c r="STO67" s="170"/>
      <c r="STP67" s="170"/>
      <c r="STQ67" s="170"/>
      <c r="STR67" s="170"/>
      <c r="STS67" s="170"/>
      <c r="STT67" s="170"/>
      <c r="STU67" s="170"/>
      <c r="STV67" s="170"/>
      <c r="STW67" s="170"/>
      <c r="STX67" s="170"/>
      <c r="STY67" s="170"/>
      <c r="STZ67" s="170"/>
      <c r="SUA67" s="170"/>
      <c r="SUB67" s="170"/>
      <c r="SUC67" s="170"/>
      <c r="SUD67" s="170"/>
      <c r="SUE67" s="170"/>
      <c r="SUF67" s="170"/>
      <c r="SUG67" s="170"/>
      <c r="SUH67" s="170"/>
      <c r="SUI67" s="170"/>
      <c r="SUJ67" s="170"/>
      <c r="SUK67" s="170"/>
      <c r="SUL67" s="170"/>
      <c r="SUM67" s="170"/>
      <c r="SUN67" s="170"/>
      <c r="SUO67" s="170"/>
      <c r="SUP67" s="170"/>
      <c r="SUQ67" s="170"/>
      <c r="SUR67" s="170"/>
      <c r="SUS67" s="170"/>
      <c r="SUT67" s="170"/>
      <c r="SUU67" s="170"/>
      <c r="SUV67" s="170"/>
      <c r="SUW67" s="170"/>
      <c r="SUX67" s="170"/>
      <c r="SUY67" s="170"/>
      <c r="SUZ67" s="170"/>
      <c r="SVA67" s="170"/>
      <c r="SVB67" s="170"/>
      <c r="SVC67" s="170"/>
      <c r="SVD67" s="170"/>
      <c r="SVE67" s="170"/>
      <c r="SVF67" s="170"/>
      <c r="SVG67" s="170"/>
      <c r="SVH67" s="170"/>
      <c r="SVI67" s="170"/>
      <c r="SVJ67" s="170"/>
      <c r="SVK67" s="170"/>
      <c r="SVL67" s="170"/>
      <c r="SVM67" s="170"/>
      <c r="SVN67" s="170"/>
      <c r="SVO67" s="170"/>
      <c r="SVP67" s="170"/>
      <c r="SVQ67" s="170"/>
      <c r="SVR67" s="170"/>
      <c r="SVS67" s="170"/>
      <c r="SVT67" s="170"/>
      <c r="SVU67" s="170"/>
      <c r="SVV67" s="170"/>
      <c r="SVW67" s="170"/>
      <c r="SVX67" s="170"/>
      <c r="SVY67" s="170"/>
      <c r="SVZ67" s="170"/>
      <c r="SWA67" s="170"/>
      <c r="SWB67" s="170"/>
      <c r="SWC67" s="170"/>
      <c r="SWD67" s="170"/>
      <c r="SWE67" s="170"/>
      <c r="SWF67" s="170"/>
      <c r="SWG67" s="170"/>
      <c r="SWH67" s="170"/>
      <c r="SWI67" s="170"/>
      <c r="SWJ67" s="170"/>
      <c r="SWK67" s="170"/>
      <c r="SWL67" s="170"/>
      <c r="SWM67" s="170"/>
      <c r="SWN67" s="170"/>
      <c r="SWO67" s="170"/>
      <c r="SWP67" s="170"/>
      <c r="SWQ67" s="170"/>
      <c r="SWR67" s="170"/>
      <c r="SWS67" s="170"/>
      <c r="SWT67" s="170"/>
      <c r="SWU67" s="170"/>
      <c r="SWV67" s="170"/>
      <c r="SWW67" s="170"/>
      <c r="SWX67" s="170"/>
      <c r="SWY67" s="170"/>
      <c r="SWZ67" s="170"/>
      <c r="SXA67" s="170"/>
      <c r="SXB67" s="170"/>
      <c r="SXC67" s="170"/>
      <c r="SXD67" s="170"/>
      <c r="SXE67" s="170"/>
      <c r="SXF67" s="170"/>
      <c r="SXG67" s="170"/>
      <c r="SXH67" s="170"/>
      <c r="SXI67" s="170"/>
      <c r="SXJ67" s="170"/>
      <c r="SXK67" s="170"/>
      <c r="SXL67" s="170"/>
      <c r="SXM67" s="170"/>
      <c r="SXN67" s="170"/>
      <c r="SXO67" s="170"/>
      <c r="SXP67" s="170"/>
      <c r="SXQ67" s="170"/>
      <c r="SXR67" s="170"/>
      <c r="SXS67" s="170"/>
      <c r="SXT67" s="170"/>
      <c r="SXU67" s="170"/>
      <c r="SXV67" s="170"/>
      <c r="SXW67" s="170"/>
      <c r="SXX67" s="170"/>
      <c r="SXY67" s="170"/>
      <c r="SXZ67" s="170"/>
      <c r="SYA67" s="170"/>
      <c r="SYB67" s="170"/>
      <c r="SYC67" s="170"/>
      <c r="SYD67" s="170"/>
      <c r="SYE67" s="170"/>
      <c r="SYF67" s="170"/>
      <c r="SYG67" s="170"/>
      <c r="SYH67" s="170"/>
      <c r="SYI67" s="170"/>
      <c r="SYJ67" s="170"/>
      <c r="SYK67" s="170"/>
      <c r="SYL67" s="170"/>
      <c r="SYM67" s="170"/>
      <c r="SYN67" s="170"/>
      <c r="SYO67" s="170"/>
      <c r="SYP67" s="170"/>
      <c r="SYQ67" s="170"/>
      <c r="SYR67" s="170"/>
      <c r="SYS67" s="170"/>
      <c r="SYT67" s="170"/>
      <c r="SYU67" s="170"/>
      <c r="SYV67" s="170"/>
      <c r="SYW67" s="170"/>
      <c r="SYX67" s="170"/>
      <c r="SYY67" s="170"/>
      <c r="SYZ67" s="170"/>
      <c r="SZA67" s="170"/>
      <c r="SZB67" s="170"/>
      <c r="SZC67" s="170"/>
      <c r="SZD67" s="170"/>
      <c r="SZE67" s="170"/>
      <c r="SZF67" s="170"/>
      <c r="SZG67" s="170"/>
      <c r="SZH67" s="170"/>
      <c r="SZI67" s="170"/>
      <c r="SZJ67" s="170"/>
      <c r="SZK67" s="170"/>
      <c r="SZL67" s="170"/>
      <c r="SZM67" s="170"/>
      <c r="SZN67" s="170"/>
      <c r="SZO67" s="170"/>
      <c r="SZP67" s="170"/>
      <c r="SZQ67" s="170"/>
      <c r="SZR67" s="170"/>
      <c r="SZS67" s="170"/>
      <c r="SZT67" s="170"/>
      <c r="SZU67" s="170"/>
      <c r="SZV67" s="170"/>
      <c r="SZW67" s="170"/>
      <c r="SZX67" s="170"/>
      <c r="SZY67" s="170"/>
      <c r="SZZ67" s="170"/>
      <c r="TAA67" s="170"/>
      <c r="TAB67" s="170"/>
      <c r="TAC67" s="170"/>
      <c r="TAD67" s="170"/>
      <c r="TAE67" s="170"/>
      <c r="TAF67" s="170"/>
      <c r="TAG67" s="170"/>
      <c r="TAH67" s="170"/>
      <c r="TAI67" s="170"/>
      <c r="TAJ67" s="170"/>
      <c r="TAK67" s="170"/>
      <c r="TAL67" s="170"/>
      <c r="TAM67" s="170"/>
      <c r="TAN67" s="170"/>
      <c r="TAO67" s="170"/>
      <c r="TAP67" s="170"/>
      <c r="TAQ67" s="170"/>
      <c r="TAR67" s="170"/>
      <c r="TAS67" s="170"/>
      <c r="TAT67" s="170"/>
      <c r="TAU67" s="170"/>
      <c r="TAV67" s="170"/>
      <c r="TAW67" s="170"/>
      <c r="TAX67" s="170"/>
      <c r="TAY67" s="170"/>
      <c r="TAZ67" s="170"/>
      <c r="TBA67" s="170"/>
      <c r="TBB67" s="170"/>
      <c r="TBC67" s="170"/>
      <c r="TBD67" s="170"/>
      <c r="TBE67" s="170"/>
      <c r="TBF67" s="170"/>
      <c r="TBG67" s="170"/>
      <c r="TBH67" s="170"/>
      <c r="TBI67" s="170"/>
      <c r="TBJ67" s="170"/>
      <c r="TBK67" s="170"/>
      <c r="TBL67" s="170"/>
      <c r="TBM67" s="170"/>
      <c r="TBN67" s="170"/>
      <c r="TBO67" s="170"/>
      <c r="TBP67" s="170"/>
      <c r="TBQ67" s="170"/>
      <c r="TBR67" s="170"/>
      <c r="TBS67" s="170"/>
      <c r="TBT67" s="170"/>
      <c r="TBU67" s="170"/>
      <c r="TBV67" s="170"/>
      <c r="TBW67" s="170"/>
      <c r="TBX67" s="170"/>
      <c r="TBY67" s="170"/>
      <c r="TBZ67" s="170"/>
      <c r="TCA67" s="170"/>
      <c r="TCB67" s="170"/>
      <c r="TCC67" s="170"/>
      <c r="TCD67" s="170"/>
      <c r="TCE67" s="170"/>
      <c r="TCF67" s="170"/>
      <c r="TCG67" s="170"/>
      <c r="TCH67" s="170"/>
      <c r="TCI67" s="170"/>
      <c r="TCJ67" s="170"/>
      <c r="TCK67" s="170"/>
      <c r="TCL67" s="170"/>
      <c r="TCM67" s="170"/>
      <c r="TCN67" s="170"/>
      <c r="TCO67" s="170"/>
      <c r="TCP67" s="170"/>
      <c r="TCQ67" s="170"/>
      <c r="TCR67" s="170"/>
      <c r="TCS67" s="170"/>
      <c r="TCT67" s="170"/>
      <c r="TCU67" s="170"/>
      <c r="TCV67" s="170"/>
      <c r="TCW67" s="170"/>
      <c r="TCX67" s="170"/>
      <c r="TCY67" s="170"/>
      <c r="TCZ67" s="170"/>
      <c r="TDA67" s="170"/>
      <c r="TDB67" s="170"/>
      <c r="TDC67" s="170"/>
      <c r="TDD67" s="170"/>
      <c r="TDE67" s="170"/>
      <c r="TDF67" s="170"/>
      <c r="TDG67" s="170"/>
      <c r="TDH67" s="170"/>
      <c r="TDI67" s="170"/>
      <c r="TDJ67" s="170"/>
      <c r="TDK67" s="170"/>
      <c r="TDL67" s="170"/>
      <c r="TDM67" s="170"/>
      <c r="TDN67" s="170"/>
      <c r="TDO67" s="170"/>
      <c r="TDP67" s="170"/>
      <c r="TDQ67" s="170"/>
      <c r="TDR67" s="170"/>
      <c r="TDS67" s="170"/>
      <c r="TDT67" s="170"/>
      <c r="TDU67" s="170"/>
      <c r="TDV67" s="170"/>
      <c r="TDW67" s="170"/>
      <c r="TDX67" s="170"/>
      <c r="TDY67" s="170"/>
      <c r="TDZ67" s="170"/>
      <c r="TEA67" s="170"/>
      <c r="TEB67" s="170"/>
      <c r="TEC67" s="170"/>
      <c r="TED67" s="170"/>
      <c r="TEE67" s="170"/>
      <c r="TEF67" s="170"/>
      <c r="TEG67" s="170"/>
      <c r="TEH67" s="170"/>
      <c r="TEI67" s="170"/>
      <c r="TEJ67" s="170"/>
      <c r="TEK67" s="170"/>
      <c r="TEL67" s="170"/>
      <c r="TEM67" s="170"/>
      <c r="TEN67" s="170"/>
      <c r="TEO67" s="170"/>
      <c r="TEP67" s="170"/>
      <c r="TEQ67" s="170"/>
      <c r="TER67" s="170"/>
      <c r="TES67" s="170"/>
      <c r="TET67" s="170"/>
      <c r="TEU67" s="170"/>
      <c r="TEV67" s="170"/>
      <c r="TEW67" s="170"/>
      <c r="TEX67" s="170"/>
      <c r="TEY67" s="170"/>
      <c r="TEZ67" s="170"/>
      <c r="TFA67" s="170"/>
      <c r="TFB67" s="170"/>
      <c r="TFC67" s="170"/>
      <c r="TFD67" s="170"/>
      <c r="TFE67" s="170"/>
      <c r="TFF67" s="170"/>
      <c r="TFG67" s="170"/>
      <c r="TFH67" s="170"/>
      <c r="TFI67" s="170"/>
      <c r="TFJ67" s="170"/>
      <c r="TFK67" s="170"/>
      <c r="TFL67" s="170"/>
      <c r="TFM67" s="170"/>
      <c r="TFN67" s="170"/>
      <c r="TFO67" s="170"/>
      <c r="TFP67" s="170"/>
      <c r="TFQ67" s="170"/>
      <c r="TFR67" s="170"/>
      <c r="TFS67" s="170"/>
      <c r="TFT67" s="170"/>
      <c r="TFU67" s="170"/>
      <c r="TFV67" s="170"/>
      <c r="TFW67" s="170"/>
      <c r="TFX67" s="170"/>
      <c r="TFY67" s="170"/>
      <c r="TFZ67" s="170"/>
      <c r="TGA67" s="170"/>
      <c r="TGB67" s="170"/>
      <c r="TGC67" s="170"/>
      <c r="TGD67" s="170"/>
      <c r="TGE67" s="170"/>
      <c r="TGF67" s="170"/>
      <c r="TGG67" s="170"/>
      <c r="TGH67" s="170"/>
      <c r="TGI67" s="170"/>
      <c r="TGJ67" s="170"/>
      <c r="TGK67" s="170"/>
      <c r="TGL67" s="170"/>
      <c r="TGM67" s="170"/>
      <c r="TGN67" s="170"/>
      <c r="TGO67" s="170"/>
      <c r="TGP67" s="170"/>
      <c r="TGQ67" s="170"/>
      <c r="TGR67" s="170"/>
      <c r="TGS67" s="170"/>
      <c r="TGT67" s="170"/>
      <c r="TGU67" s="170"/>
      <c r="TGV67" s="170"/>
      <c r="TGW67" s="170"/>
      <c r="TGX67" s="170"/>
      <c r="TGY67" s="170"/>
      <c r="TGZ67" s="170"/>
      <c r="THA67" s="170"/>
      <c r="THB67" s="170"/>
      <c r="THC67" s="170"/>
      <c r="THD67" s="170"/>
      <c r="THE67" s="170"/>
      <c r="THF67" s="170"/>
      <c r="THG67" s="170"/>
      <c r="THH67" s="170"/>
      <c r="THI67" s="170"/>
      <c r="THJ67" s="170"/>
      <c r="THK67" s="170"/>
      <c r="THL67" s="170"/>
      <c r="THM67" s="170"/>
      <c r="THN67" s="170"/>
      <c r="THO67" s="170"/>
      <c r="THP67" s="170"/>
      <c r="THQ67" s="170"/>
      <c r="THR67" s="170"/>
      <c r="THS67" s="170"/>
      <c r="THT67" s="170"/>
      <c r="THU67" s="170"/>
      <c r="THV67" s="170"/>
      <c r="THW67" s="170"/>
      <c r="THX67" s="170"/>
      <c r="THY67" s="170"/>
      <c r="THZ67" s="170"/>
      <c r="TIA67" s="170"/>
      <c r="TIB67" s="170"/>
      <c r="TIC67" s="170"/>
      <c r="TID67" s="170"/>
      <c r="TIE67" s="170"/>
      <c r="TIF67" s="170"/>
      <c r="TIG67" s="170"/>
      <c r="TIH67" s="170"/>
      <c r="TII67" s="170"/>
      <c r="TIJ67" s="170"/>
      <c r="TIK67" s="170"/>
      <c r="TIL67" s="170"/>
      <c r="TIM67" s="170"/>
      <c r="TIN67" s="170"/>
      <c r="TIO67" s="170"/>
      <c r="TIP67" s="170"/>
      <c r="TIQ67" s="170"/>
      <c r="TIR67" s="170"/>
      <c r="TIS67" s="170"/>
      <c r="TIT67" s="170"/>
      <c r="TIU67" s="170"/>
      <c r="TIV67" s="170"/>
      <c r="TIW67" s="170"/>
      <c r="TIX67" s="170"/>
      <c r="TIY67" s="170"/>
      <c r="TIZ67" s="170"/>
      <c r="TJA67" s="170"/>
      <c r="TJB67" s="170"/>
      <c r="TJC67" s="170"/>
      <c r="TJD67" s="170"/>
      <c r="TJE67" s="170"/>
      <c r="TJF67" s="170"/>
      <c r="TJG67" s="170"/>
      <c r="TJH67" s="170"/>
      <c r="TJI67" s="170"/>
      <c r="TJJ67" s="170"/>
      <c r="TJK67" s="170"/>
      <c r="TJL67" s="170"/>
      <c r="TJM67" s="170"/>
      <c r="TJN67" s="170"/>
      <c r="TJO67" s="170"/>
      <c r="TJP67" s="170"/>
      <c r="TJQ67" s="170"/>
      <c r="TJR67" s="170"/>
      <c r="TJS67" s="170"/>
      <c r="TJT67" s="170"/>
      <c r="TJU67" s="170"/>
      <c r="TJV67" s="170"/>
      <c r="TJW67" s="170"/>
      <c r="TJX67" s="170"/>
      <c r="TJY67" s="170"/>
      <c r="TJZ67" s="170"/>
      <c r="TKA67" s="170"/>
      <c r="TKB67" s="170"/>
      <c r="TKC67" s="170"/>
      <c r="TKD67" s="170"/>
      <c r="TKE67" s="170"/>
      <c r="TKF67" s="170"/>
      <c r="TKG67" s="170"/>
      <c r="TKH67" s="170"/>
      <c r="TKI67" s="170"/>
      <c r="TKJ67" s="170"/>
      <c r="TKK67" s="170"/>
      <c r="TKL67" s="170"/>
      <c r="TKM67" s="170"/>
      <c r="TKN67" s="170"/>
      <c r="TKO67" s="170"/>
      <c r="TKP67" s="170"/>
      <c r="TKQ67" s="170"/>
      <c r="TKR67" s="170"/>
      <c r="TKS67" s="170"/>
      <c r="TKT67" s="170"/>
      <c r="TKU67" s="170"/>
      <c r="TKV67" s="170"/>
      <c r="TKW67" s="170"/>
      <c r="TKX67" s="170"/>
      <c r="TKY67" s="170"/>
      <c r="TKZ67" s="170"/>
      <c r="TLA67" s="170"/>
      <c r="TLB67" s="170"/>
      <c r="TLC67" s="170"/>
      <c r="TLD67" s="170"/>
      <c r="TLE67" s="170"/>
      <c r="TLF67" s="170"/>
      <c r="TLG67" s="170"/>
      <c r="TLH67" s="170"/>
      <c r="TLI67" s="170"/>
      <c r="TLJ67" s="170"/>
      <c r="TLK67" s="170"/>
      <c r="TLL67" s="170"/>
      <c r="TLM67" s="170"/>
      <c r="TLN67" s="170"/>
      <c r="TLO67" s="170"/>
      <c r="TLP67" s="170"/>
      <c r="TLQ67" s="170"/>
      <c r="TLR67" s="170"/>
      <c r="TLS67" s="170"/>
      <c r="TLT67" s="170"/>
      <c r="TLU67" s="170"/>
      <c r="TLV67" s="170"/>
      <c r="TLW67" s="170"/>
      <c r="TLX67" s="170"/>
      <c r="TLY67" s="170"/>
      <c r="TLZ67" s="170"/>
      <c r="TMA67" s="170"/>
      <c r="TMB67" s="170"/>
      <c r="TMC67" s="170"/>
      <c r="TMD67" s="170"/>
      <c r="TME67" s="170"/>
      <c r="TMF67" s="170"/>
      <c r="TMG67" s="170"/>
      <c r="TMH67" s="170"/>
      <c r="TMI67" s="170"/>
      <c r="TMJ67" s="170"/>
      <c r="TMK67" s="170"/>
      <c r="TML67" s="170"/>
      <c r="TMM67" s="170"/>
      <c r="TMN67" s="170"/>
      <c r="TMO67" s="170"/>
      <c r="TMP67" s="170"/>
      <c r="TMQ67" s="170"/>
      <c r="TMR67" s="170"/>
      <c r="TMS67" s="170"/>
      <c r="TMT67" s="170"/>
      <c r="TMU67" s="170"/>
      <c r="TMV67" s="170"/>
      <c r="TMW67" s="170"/>
      <c r="TMX67" s="170"/>
      <c r="TMY67" s="170"/>
      <c r="TMZ67" s="170"/>
      <c r="TNA67" s="170"/>
      <c r="TNB67" s="170"/>
      <c r="TNC67" s="170"/>
      <c r="TND67" s="170"/>
      <c r="TNE67" s="170"/>
      <c r="TNF67" s="170"/>
      <c r="TNG67" s="170"/>
      <c r="TNH67" s="170"/>
      <c r="TNI67" s="170"/>
      <c r="TNJ67" s="170"/>
      <c r="TNK67" s="170"/>
      <c r="TNL67" s="170"/>
      <c r="TNM67" s="170"/>
      <c r="TNN67" s="170"/>
      <c r="TNO67" s="170"/>
      <c r="TNP67" s="170"/>
      <c r="TNQ67" s="170"/>
      <c r="TNR67" s="170"/>
      <c r="TNS67" s="170"/>
      <c r="TNT67" s="170"/>
      <c r="TNU67" s="170"/>
      <c r="TNV67" s="170"/>
      <c r="TNW67" s="170"/>
      <c r="TNX67" s="170"/>
      <c r="TNY67" s="170"/>
      <c r="TNZ67" s="170"/>
      <c r="TOA67" s="170"/>
      <c r="TOB67" s="170"/>
      <c r="TOC67" s="170"/>
      <c r="TOD67" s="170"/>
      <c r="TOE67" s="170"/>
      <c r="TOF67" s="170"/>
      <c r="TOG67" s="170"/>
      <c r="TOH67" s="170"/>
      <c r="TOI67" s="170"/>
      <c r="TOJ67" s="170"/>
      <c r="TOK67" s="170"/>
      <c r="TOL67" s="170"/>
      <c r="TOM67" s="170"/>
      <c r="TON67" s="170"/>
      <c r="TOO67" s="170"/>
      <c r="TOP67" s="170"/>
      <c r="TOQ67" s="170"/>
      <c r="TOR67" s="170"/>
      <c r="TOS67" s="170"/>
      <c r="TOT67" s="170"/>
      <c r="TOU67" s="170"/>
      <c r="TOV67" s="170"/>
      <c r="TOW67" s="170"/>
      <c r="TOX67" s="170"/>
      <c r="TOY67" s="170"/>
      <c r="TOZ67" s="170"/>
      <c r="TPA67" s="170"/>
      <c r="TPB67" s="170"/>
      <c r="TPC67" s="170"/>
      <c r="TPD67" s="170"/>
      <c r="TPE67" s="170"/>
      <c r="TPF67" s="170"/>
      <c r="TPG67" s="170"/>
      <c r="TPH67" s="170"/>
      <c r="TPI67" s="170"/>
      <c r="TPJ67" s="170"/>
      <c r="TPK67" s="170"/>
      <c r="TPL67" s="170"/>
      <c r="TPM67" s="170"/>
      <c r="TPN67" s="170"/>
      <c r="TPO67" s="170"/>
      <c r="TPP67" s="170"/>
      <c r="TPQ67" s="170"/>
      <c r="TPR67" s="170"/>
      <c r="TPS67" s="170"/>
      <c r="TPT67" s="170"/>
      <c r="TPU67" s="170"/>
      <c r="TPV67" s="170"/>
      <c r="TPW67" s="170"/>
      <c r="TPX67" s="170"/>
      <c r="TPY67" s="170"/>
      <c r="TPZ67" s="170"/>
      <c r="TQA67" s="170"/>
      <c r="TQB67" s="170"/>
      <c r="TQC67" s="170"/>
      <c r="TQD67" s="170"/>
      <c r="TQE67" s="170"/>
      <c r="TQF67" s="170"/>
      <c r="TQG67" s="170"/>
      <c r="TQH67" s="170"/>
      <c r="TQI67" s="170"/>
      <c r="TQJ67" s="170"/>
      <c r="TQK67" s="170"/>
      <c r="TQL67" s="170"/>
      <c r="TQM67" s="170"/>
      <c r="TQN67" s="170"/>
      <c r="TQO67" s="170"/>
      <c r="TQP67" s="170"/>
      <c r="TQQ67" s="170"/>
      <c r="TQR67" s="170"/>
      <c r="TQS67" s="170"/>
      <c r="TQT67" s="170"/>
      <c r="TQU67" s="170"/>
      <c r="TQV67" s="170"/>
      <c r="TQW67" s="170"/>
      <c r="TQX67" s="170"/>
      <c r="TQY67" s="170"/>
      <c r="TQZ67" s="170"/>
      <c r="TRA67" s="170"/>
      <c r="TRB67" s="170"/>
      <c r="TRC67" s="170"/>
      <c r="TRD67" s="170"/>
      <c r="TRE67" s="170"/>
      <c r="TRF67" s="170"/>
      <c r="TRG67" s="170"/>
      <c r="TRH67" s="170"/>
      <c r="TRI67" s="170"/>
      <c r="TRJ67" s="170"/>
      <c r="TRK67" s="170"/>
      <c r="TRL67" s="170"/>
      <c r="TRM67" s="170"/>
      <c r="TRN67" s="170"/>
      <c r="TRO67" s="170"/>
      <c r="TRP67" s="170"/>
      <c r="TRQ67" s="170"/>
      <c r="TRR67" s="170"/>
      <c r="TRS67" s="170"/>
      <c r="TRT67" s="170"/>
      <c r="TRU67" s="170"/>
      <c r="TRV67" s="170"/>
      <c r="TRW67" s="170"/>
      <c r="TRX67" s="170"/>
      <c r="TRY67" s="170"/>
      <c r="TRZ67" s="170"/>
      <c r="TSA67" s="170"/>
      <c r="TSB67" s="170"/>
      <c r="TSC67" s="170"/>
      <c r="TSD67" s="170"/>
      <c r="TSE67" s="170"/>
      <c r="TSF67" s="170"/>
      <c r="TSG67" s="170"/>
      <c r="TSH67" s="170"/>
      <c r="TSI67" s="170"/>
      <c r="TSJ67" s="170"/>
      <c r="TSK67" s="170"/>
      <c r="TSL67" s="170"/>
      <c r="TSM67" s="170"/>
      <c r="TSN67" s="170"/>
      <c r="TSO67" s="170"/>
      <c r="TSP67" s="170"/>
      <c r="TSQ67" s="170"/>
      <c r="TSR67" s="170"/>
      <c r="TSS67" s="170"/>
      <c r="TST67" s="170"/>
      <c r="TSU67" s="170"/>
      <c r="TSV67" s="170"/>
      <c r="TSW67" s="170"/>
      <c r="TSX67" s="170"/>
      <c r="TSY67" s="170"/>
      <c r="TSZ67" s="170"/>
      <c r="TTA67" s="170"/>
      <c r="TTB67" s="170"/>
      <c r="TTC67" s="170"/>
      <c r="TTD67" s="170"/>
      <c r="TTE67" s="170"/>
      <c r="TTF67" s="170"/>
      <c r="TTG67" s="170"/>
      <c r="TTH67" s="170"/>
      <c r="TTI67" s="170"/>
      <c r="TTJ67" s="170"/>
      <c r="TTK67" s="170"/>
      <c r="TTL67" s="170"/>
      <c r="TTM67" s="170"/>
      <c r="TTN67" s="170"/>
      <c r="TTO67" s="170"/>
      <c r="TTP67" s="170"/>
      <c r="TTQ67" s="170"/>
      <c r="TTR67" s="170"/>
      <c r="TTS67" s="170"/>
      <c r="TTT67" s="170"/>
      <c r="TTU67" s="170"/>
      <c r="TTV67" s="170"/>
      <c r="TTW67" s="170"/>
      <c r="TTX67" s="170"/>
      <c r="TTY67" s="170"/>
      <c r="TTZ67" s="170"/>
      <c r="TUA67" s="170"/>
      <c r="TUB67" s="170"/>
      <c r="TUC67" s="170"/>
      <c r="TUD67" s="170"/>
      <c r="TUE67" s="170"/>
      <c r="TUF67" s="170"/>
      <c r="TUG67" s="170"/>
      <c r="TUH67" s="170"/>
      <c r="TUI67" s="170"/>
      <c r="TUJ67" s="170"/>
      <c r="TUK67" s="170"/>
      <c r="TUL67" s="170"/>
      <c r="TUM67" s="170"/>
      <c r="TUN67" s="170"/>
      <c r="TUO67" s="170"/>
      <c r="TUP67" s="170"/>
      <c r="TUQ67" s="170"/>
      <c r="TUR67" s="170"/>
      <c r="TUS67" s="170"/>
      <c r="TUT67" s="170"/>
      <c r="TUU67" s="170"/>
      <c r="TUV67" s="170"/>
      <c r="TUW67" s="170"/>
      <c r="TUX67" s="170"/>
      <c r="TUY67" s="170"/>
      <c r="TUZ67" s="170"/>
      <c r="TVA67" s="170"/>
      <c r="TVB67" s="170"/>
      <c r="TVC67" s="170"/>
      <c r="TVD67" s="170"/>
      <c r="TVE67" s="170"/>
      <c r="TVF67" s="170"/>
      <c r="TVG67" s="170"/>
      <c r="TVH67" s="170"/>
      <c r="TVI67" s="170"/>
      <c r="TVJ67" s="170"/>
      <c r="TVK67" s="170"/>
      <c r="TVL67" s="170"/>
      <c r="TVM67" s="170"/>
      <c r="TVN67" s="170"/>
      <c r="TVO67" s="170"/>
      <c r="TVP67" s="170"/>
      <c r="TVQ67" s="170"/>
      <c r="TVR67" s="170"/>
      <c r="TVS67" s="170"/>
      <c r="TVT67" s="170"/>
      <c r="TVU67" s="170"/>
      <c r="TVV67" s="170"/>
      <c r="TVW67" s="170"/>
      <c r="TVX67" s="170"/>
      <c r="TVY67" s="170"/>
      <c r="TVZ67" s="170"/>
      <c r="TWA67" s="170"/>
      <c r="TWB67" s="170"/>
      <c r="TWC67" s="170"/>
      <c r="TWD67" s="170"/>
      <c r="TWE67" s="170"/>
      <c r="TWF67" s="170"/>
      <c r="TWG67" s="170"/>
      <c r="TWH67" s="170"/>
      <c r="TWI67" s="170"/>
      <c r="TWJ67" s="170"/>
      <c r="TWK67" s="170"/>
      <c r="TWL67" s="170"/>
      <c r="TWM67" s="170"/>
      <c r="TWN67" s="170"/>
      <c r="TWO67" s="170"/>
      <c r="TWP67" s="170"/>
      <c r="TWQ67" s="170"/>
      <c r="TWR67" s="170"/>
      <c r="TWS67" s="170"/>
      <c r="TWT67" s="170"/>
      <c r="TWU67" s="170"/>
      <c r="TWV67" s="170"/>
      <c r="TWW67" s="170"/>
      <c r="TWX67" s="170"/>
      <c r="TWY67" s="170"/>
      <c r="TWZ67" s="170"/>
      <c r="TXA67" s="170"/>
      <c r="TXB67" s="170"/>
      <c r="TXC67" s="170"/>
      <c r="TXD67" s="170"/>
      <c r="TXE67" s="170"/>
      <c r="TXF67" s="170"/>
      <c r="TXG67" s="170"/>
      <c r="TXH67" s="170"/>
      <c r="TXI67" s="170"/>
      <c r="TXJ67" s="170"/>
      <c r="TXK67" s="170"/>
      <c r="TXL67" s="170"/>
      <c r="TXM67" s="170"/>
      <c r="TXN67" s="170"/>
      <c r="TXO67" s="170"/>
      <c r="TXP67" s="170"/>
      <c r="TXQ67" s="170"/>
      <c r="TXR67" s="170"/>
      <c r="TXS67" s="170"/>
      <c r="TXT67" s="170"/>
      <c r="TXU67" s="170"/>
      <c r="TXV67" s="170"/>
      <c r="TXW67" s="170"/>
      <c r="TXX67" s="170"/>
      <c r="TXY67" s="170"/>
      <c r="TXZ67" s="170"/>
      <c r="TYA67" s="170"/>
      <c r="TYB67" s="170"/>
      <c r="TYC67" s="170"/>
      <c r="TYD67" s="170"/>
      <c r="TYE67" s="170"/>
      <c r="TYF67" s="170"/>
      <c r="TYG67" s="170"/>
      <c r="TYH67" s="170"/>
      <c r="TYI67" s="170"/>
      <c r="TYJ67" s="170"/>
      <c r="TYK67" s="170"/>
      <c r="TYL67" s="170"/>
      <c r="TYM67" s="170"/>
      <c r="TYN67" s="170"/>
      <c r="TYO67" s="170"/>
      <c r="TYP67" s="170"/>
      <c r="TYQ67" s="170"/>
      <c r="TYR67" s="170"/>
      <c r="TYS67" s="170"/>
      <c r="TYT67" s="170"/>
      <c r="TYU67" s="170"/>
      <c r="TYV67" s="170"/>
      <c r="TYW67" s="170"/>
      <c r="TYX67" s="170"/>
      <c r="TYY67" s="170"/>
      <c r="TYZ67" s="170"/>
      <c r="TZA67" s="170"/>
      <c r="TZB67" s="170"/>
      <c r="TZC67" s="170"/>
      <c r="TZD67" s="170"/>
      <c r="TZE67" s="170"/>
      <c r="TZF67" s="170"/>
      <c r="TZG67" s="170"/>
      <c r="TZH67" s="170"/>
      <c r="TZI67" s="170"/>
      <c r="TZJ67" s="170"/>
      <c r="TZK67" s="170"/>
      <c r="TZL67" s="170"/>
      <c r="TZM67" s="170"/>
      <c r="TZN67" s="170"/>
      <c r="TZO67" s="170"/>
      <c r="TZP67" s="170"/>
      <c r="TZQ67" s="170"/>
      <c r="TZR67" s="170"/>
      <c r="TZS67" s="170"/>
      <c r="TZT67" s="170"/>
      <c r="TZU67" s="170"/>
      <c r="TZV67" s="170"/>
      <c r="TZW67" s="170"/>
      <c r="TZX67" s="170"/>
      <c r="TZY67" s="170"/>
      <c r="TZZ67" s="170"/>
      <c r="UAA67" s="170"/>
      <c r="UAB67" s="170"/>
      <c r="UAC67" s="170"/>
      <c r="UAD67" s="170"/>
      <c r="UAE67" s="170"/>
      <c r="UAF67" s="170"/>
      <c r="UAG67" s="170"/>
      <c r="UAH67" s="170"/>
      <c r="UAI67" s="170"/>
      <c r="UAJ67" s="170"/>
      <c r="UAK67" s="170"/>
      <c r="UAL67" s="170"/>
      <c r="UAM67" s="170"/>
      <c r="UAN67" s="170"/>
      <c r="UAO67" s="170"/>
      <c r="UAP67" s="170"/>
      <c r="UAQ67" s="170"/>
      <c r="UAR67" s="170"/>
      <c r="UAS67" s="170"/>
      <c r="UAT67" s="170"/>
      <c r="UAU67" s="170"/>
      <c r="UAV67" s="170"/>
      <c r="UAW67" s="170"/>
      <c r="UAX67" s="170"/>
      <c r="UAY67" s="170"/>
      <c r="UAZ67" s="170"/>
      <c r="UBA67" s="170"/>
      <c r="UBB67" s="170"/>
      <c r="UBC67" s="170"/>
      <c r="UBD67" s="170"/>
      <c r="UBE67" s="170"/>
      <c r="UBF67" s="170"/>
      <c r="UBG67" s="170"/>
      <c r="UBH67" s="170"/>
      <c r="UBI67" s="170"/>
      <c r="UBJ67" s="170"/>
      <c r="UBK67" s="170"/>
      <c r="UBL67" s="170"/>
      <c r="UBM67" s="170"/>
      <c r="UBN67" s="170"/>
      <c r="UBO67" s="170"/>
      <c r="UBP67" s="170"/>
      <c r="UBQ67" s="170"/>
      <c r="UBR67" s="170"/>
      <c r="UBS67" s="170"/>
      <c r="UBT67" s="170"/>
      <c r="UBU67" s="170"/>
      <c r="UBV67" s="170"/>
      <c r="UBW67" s="170"/>
      <c r="UBX67" s="170"/>
      <c r="UBY67" s="170"/>
      <c r="UBZ67" s="170"/>
      <c r="UCA67" s="170"/>
      <c r="UCB67" s="170"/>
      <c r="UCC67" s="170"/>
      <c r="UCD67" s="170"/>
      <c r="UCE67" s="170"/>
      <c r="UCF67" s="170"/>
      <c r="UCG67" s="170"/>
      <c r="UCH67" s="170"/>
      <c r="UCI67" s="170"/>
      <c r="UCJ67" s="170"/>
      <c r="UCK67" s="170"/>
      <c r="UCL67" s="170"/>
      <c r="UCM67" s="170"/>
      <c r="UCN67" s="170"/>
      <c r="UCO67" s="170"/>
      <c r="UCP67" s="170"/>
      <c r="UCQ67" s="170"/>
      <c r="UCR67" s="170"/>
      <c r="UCS67" s="170"/>
      <c r="UCT67" s="170"/>
      <c r="UCU67" s="170"/>
      <c r="UCV67" s="170"/>
      <c r="UCW67" s="170"/>
      <c r="UCX67" s="170"/>
      <c r="UCY67" s="170"/>
      <c r="UCZ67" s="170"/>
      <c r="UDA67" s="170"/>
      <c r="UDB67" s="170"/>
      <c r="UDC67" s="170"/>
      <c r="UDD67" s="170"/>
      <c r="UDE67" s="170"/>
      <c r="UDF67" s="170"/>
      <c r="UDG67" s="170"/>
      <c r="UDH67" s="170"/>
      <c r="UDI67" s="170"/>
      <c r="UDJ67" s="170"/>
      <c r="UDK67" s="170"/>
      <c r="UDL67" s="170"/>
      <c r="UDM67" s="170"/>
      <c r="UDN67" s="170"/>
      <c r="UDO67" s="170"/>
      <c r="UDP67" s="170"/>
      <c r="UDQ67" s="170"/>
      <c r="UDR67" s="170"/>
      <c r="UDS67" s="170"/>
      <c r="UDT67" s="170"/>
      <c r="UDU67" s="170"/>
      <c r="UDV67" s="170"/>
      <c r="UDW67" s="170"/>
      <c r="UDX67" s="170"/>
      <c r="UDY67" s="170"/>
      <c r="UDZ67" s="170"/>
      <c r="UEA67" s="170"/>
      <c r="UEB67" s="170"/>
      <c r="UEC67" s="170"/>
      <c r="UED67" s="170"/>
      <c r="UEE67" s="170"/>
      <c r="UEF67" s="170"/>
      <c r="UEG67" s="170"/>
      <c r="UEH67" s="170"/>
      <c r="UEI67" s="170"/>
      <c r="UEJ67" s="170"/>
      <c r="UEK67" s="170"/>
      <c r="UEL67" s="170"/>
      <c r="UEM67" s="170"/>
      <c r="UEN67" s="170"/>
      <c r="UEO67" s="170"/>
      <c r="UEP67" s="170"/>
      <c r="UEQ67" s="170"/>
      <c r="UER67" s="170"/>
      <c r="UES67" s="170"/>
      <c r="UET67" s="170"/>
      <c r="UEU67" s="170"/>
      <c r="UEV67" s="170"/>
      <c r="UEW67" s="170"/>
      <c r="UEX67" s="170"/>
      <c r="UEY67" s="170"/>
      <c r="UEZ67" s="170"/>
      <c r="UFA67" s="170"/>
      <c r="UFB67" s="170"/>
      <c r="UFC67" s="170"/>
      <c r="UFD67" s="170"/>
      <c r="UFE67" s="170"/>
      <c r="UFF67" s="170"/>
      <c r="UFG67" s="170"/>
      <c r="UFH67" s="170"/>
      <c r="UFI67" s="170"/>
      <c r="UFJ67" s="170"/>
      <c r="UFK67" s="170"/>
      <c r="UFL67" s="170"/>
      <c r="UFM67" s="170"/>
      <c r="UFN67" s="170"/>
      <c r="UFO67" s="170"/>
      <c r="UFP67" s="170"/>
      <c r="UFQ67" s="170"/>
      <c r="UFR67" s="170"/>
      <c r="UFS67" s="170"/>
      <c r="UFT67" s="170"/>
      <c r="UFU67" s="170"/>
      <c r="UFV67" s="170"/>
      <c r="UFW67" s="170"/>
      <c r="UFX67" s="170"/>
      <c r="UFY67" s="170"/>
      <c r="UFZ67" s="170"/>
      <c r="UGA67" s="170"/>
      <c r="UGB67" s="170"/>
      <c r="UGC67" s="170"/>
      <c r="UGD67" s="170"/>
      <c r="UGE67" s="170"/>
      <c r="UGF67" s="170"/>
      <c r="UGG67" s="170"/>
      <c r="UGH67" s="170"/>
      <c r="UGI67" s="170"/>
      <c r="UGJ67" s="170"/>
      <c r="UGK67" s="170"/>
      <c r="UGL67" s="170"/>
      <c r="UGM67" s="170"/>
      <c r="UGN67" s="170"/>
      <c r="UGO67" s="170"/>
      <c r="UGP67" s="170"/>
      <c r="UGQ67" s="170"/>
      <c r="UGR67" s="170"/>
      <c r="UGS67" s="170"/>
      <c r="UGT67" s="170"/>
      <c r="UGU67" s="170"/>
      <c r="UGV67" s="170"/>
      <c r="UGW67" s="170"/>
      <c r="UGX67" s="170"/>
      <c r="UGY67" s="170"/>
      <c r="UGZ67" s="170"/>
      <c r="UHA67" s="170"/>
      <c r="UHB67" s="170"/>
      <c r="UHC67" s="170"/>
      <c r="UHD67" s="170"/>
      <c r="UHE67" s="170"/>
      <c r="UHF67" s="170"/>
      <c r="UHG67" s="170"/>
      <c r="UHH67" s="170"/>
      <c r="UHI67" s="170"/>
      <c r="UHJ67" s="170"/>
      <c r="UHK67" s="170"/>
      <c r="UHL67" s="170"/>
      <c r="UHM67" s="170"/>
      <c r="UHN67" s="170"/>
      <c r="UHO67" s="170"/>
      <c r="UHP67" s="170"/>
      <c r="UHQ67" s="170"/>
      <c r="UHR67" s="170"/>
      <c r="UHS67" s="170"/>
      <c r="UHT67" s="170"/>
      <c r="UHU67" s="170"/>
      <c r="UHV67" s="170"/>
      <c r="UHW67" s="170"/>
      <c r="UHX67" s="170"/>
      <c r="UHY67" s="170"/>
      <c r="UHZ67" s="170"/>
      <c r="UIA67" s="170"/>
      <c r="UIB67" s="170"/>
      <c r="UIC67" s="170"/>
      <c r="UID67" s="170"/>
      <c r="UIE67" s="170"/>
      <c r="UIF67" s="170"/>
      <c r="UIG67" s="170"/>
      <c r="UIH67" s="170"/>
      <c r="UII67" s="170"/>
      <c r="UIJ67" s="170"/>
      <c r="UIK67" s="170"/>
      <c r="UIL67" s="170"/>
      <c r="UIM67" s="170"/>
      <c r="UIN67" s="170"/>
      <c r="UIO67" s="170"/>
      <c r="UIP67" s="170"/>
      <c r="UIQ67" s="170"/>
      <c r="UIR67" s="170"/>
      <c r="UIS67" s="170"/>
      <c r="UIT67" s="170"/>
      <c r="UIU67" s="170"/>
      <c r="UIV67" s="170"/>
      <c r="UIW67" s="170"/>
      <c r="UIX67" s="170"/>
      <c r="UIY67" s="170"/>
      <c r="UIZ67" s="170"/>
      <c r="UJA67" s="170"/>
      <c r="UJB67" s="170"/>
      <c r="UJC67" s="170"/>
      <c r="UJD67" s="170"/>
      <c r="UJE67" s="170"/>
      <c r="UJF67" s="170"/>
      <c r="UJG67" s="170"/>
      <c r="UJH67" s="170"/>
      <c r="UJI67" s="170"/>
      <c r="UJJ67" s="170"/>
      <c r="UJK67" s="170"/>
      <c r="UJL67" s="170"/>
      <c r="UJM67" s="170"/>
      <c r="UJN67" s="170"/>
      <c r="UJO67" s="170"/>
      <c r="UJP67" s="170"/>
      <c r="UJQ67" s="170"/>
      <c r="UJR67" s="170"/>
      <c r="UJS67" s="170"/>
      <c r="UJT67" s="170"/>
      <c r="UJU67" s="170"/>
      <c r="UJV67" s="170"/>
      <c r="UJW67" s="170"/>
      <c r="UJX67" s="170"/>
      <c r="UJY67" s="170"/>
      <c r="UJZ67" s="170"/>
      <c r="UKA67" s="170"/>
      <c r="UKB67" s="170"/>
      <c r="UKC67" s="170"/>
      <c r="UKD67" s="170"/>
      <c r="UKE67" s="170"/>
      <c r="UKF67" s="170"/>
      <c r="UKG67" s="170"/>
      <c r="UKH67" s="170"/>
      <c r="UKI67" s="170"/>
      <c r="UKJ67" s="170"/>
      <c r="UKK67" s="170"/>
      <c r="UKL67" s="170"/>
      <c r="UKM67" s="170"/>
      <c r="UKN67" s="170"/>
      <c r="UKO67" s="170"/>
      <c r="UKP67" s="170"/>
      <c r="UKQ67" s="170"/>
      <c r="UKR67" s="170"/>
      <c r="UKS67" s="170"/>
      <c r="UKT67" s="170"/>
      <c r="UKU67" s="170"/>
      <c r="UKV67" s="170"/>
      <c r="UKW67" s="170"/>
      <c r="UKX67" s="170"/>
      <c r="UKY67" s="170"/>
      <c r="UKZ67" s="170"/>
      <c r="ULA67" s="170"/>
      <c r="ULB67" s="170"/>
      <c r="ULC67" s="170"/>
      <c r="ULD67" s="170"/>
      <c r="ULE67" s="170"/>
      <c r="ULF67" s="170"/>
      <c r="ULG67" s="170"/>
      <c r="ULH67" s="170"/>
      <c r="ULI67" s="170"/>
      <c r="ULJ67" s="170"/>
      <c r="ULK67" s="170"/>
      <c r="ULL67" s="170"/>
      <c r="ULM67" s="170"/>
      <c r="ULN67" s="170"/>
      <c r="ULO67" s="170"/>
      <c r="ULP67" s="170"/>
      <c r="ULQ67" s="170"/>
      <c r="ULR67" s="170"/>
      <c r="ULS67" s="170"/>
      <c r="ULT67" s="170"/>
      <c r="ULU67" s="170"/>
      <c r="ULV67" s="170"/>
      <c r="ULW67" s="170"/>
      <c r="ULX67" s="170"/>
      <c r="ULY67" s="170"/>
      <c r="ULZ67" s="170"/>
      <c r="UMA67" s="170"/>
      <c r="UMB67" s="170"/>
      <c r="UMC67" s="170"/>
      <c r="UMD67" s="170"/>
      <c r="UME67" s="170"/>
      <c r="UMF67" s="170"/>
      <c r="UMG67" s="170"/>
      <c r="UMH67" s="170"/>
      <c r="UMI67" s="170"/>
      <c r="UMJ67" s="170"/>
      <c r="UMK67" s="170"/>
      <c r="UML67" s="170"/>
      <c r="UMM67" s="170"/>
      <c r="UMN67" s="170"/>
      <c r="UMO67" s="170"/>
      <c r="UMP67" s="170"/>
      <c r="UMQ67" s="170"/>
      <c r="UMR67" s="170"/>
      <c r="UMS67" s="170"/>
      <c r="UMT67" s="170"/>
      <c r="UMU67" s="170"/>
      <c r="UMV67" s="170"/>
      <c r="UMW67" s="170"/>
      <c r="UMX67" s="170"/>
      <c r="UMY67" s="170"/>
      <c r="UMZ67" s="170"/>
      <c r="UNA67" s="170"/>
      <c r="UNB67" s="170"/>
      <c r="UNC67" s="170"/>
      <c r="UND67" s="170"/>
      <c r="UNE67" s="170"/>
      <c r="UNF67" s="170"/>
      <c r="UNG67" s="170"/>
      <c r="UNH67" s="170"/>
      <c r="UNI67" s="170"/>
      <c r="UNJ67" s="170"/>
      <c r="UNK67" s="170"/>
      <c r="UNL67" s="170"/>
      <c r="UNM67" s="170"/>
      <c r="UNN67" s="170"/>
      <c r="UNO67" s="170"/>
      <c r="UNP67" s="170"/>
      <c r="UNQ67" s="170"/>
      <c r="UNR67" s="170"/>
      <c r="UNS67" s="170"/>
      <c r="UNT67" s="170"/>
      <c r="UNU67" s="170"/>
      <c r="UNV67" s="170"/>
      <c r="UNW67" s="170"/>
      <c r="UNX67" s="170"/>
      <c r="UNY67" s="170"/>
      <c r="UNZ67" s="170"/>
      <c r="UOA67" s="170"/>
      <c r="UOB67" s="170"/>
      <c r="UOC67" s="170"/>
      <c r="UOD67" s="170"/>
      <c r="UOE67" s="170"/>
      <c r="UOF67" s="170"/>
      <c r="UOG67" s="170"/>
      <c r="UOH67" s="170"/>
      <c r="UOI67" s="170"/>
      <c r="UOJ67" s="170"/>
      <c r="UOK67" s="170"/>
      <c r="UOL67" s="170"/>
      <c r="UOM67" s="170"/>
      <c r="UON67" s="170"/>
      <c r="UOO67" s="170"/>
      <c r="UOP67" s="170"/>
      <c r="UOQ67" s="170"/>
      <c r="UOR67" s="170"/>
      <c r="UOS67" s="170"/>
      <c r="UOT67" s="170"/>
      <c r="UOU67" s="170"/>
      <c r="UOV67" s="170"/>
      <c r="UOW67" s="170"/>
      <c r="UOX67" s="170"/>
      <c r="UOY67" s="170"/>
      <c r="UOZ67" s="170"/>
      <c r="UPA67" s="170"/>
      <c r="UPB67" s="170"/>
      <c r="UPC67" s="170"/>
      <c r="UPD67" s="170"/>
      <c r="UPE67" s="170"/>
      <c r="UPF67" s="170"/>
      <c r="UPG67" s="170"/>
      <c r="UPH67" s="170"/>
      <c r="UPI67" s="170"/>
      <c r="UPJ67" s="170"/>
      <c r="UPK67" s="170"/>
      <c r="UPL67" s="170"/>
      <c r="UPM67" s="170"/>
      <c r="UPN67" s="170"/>
      <c r="UPO67" s="170"/>
      <c r="UPP67" s="170"/>
      <c r="UPQ67" s="170"/>
      <c r="UPR67" s="170"/>
      <c r="UPS67" s="170"/>
      <c r="UPT67" s="170"/>
      <c r="UPU67" s="170"/>
      <c r="UPV67" s="170"/>
      <c r="UPW67" s="170"/>
      <c r="UPX67" s="170"/>
      <c r="UPY67" s="170"/>
      <c r="UPZ67" s="170"/>
      <c r="UQA67" s="170"/>
      <c r="UQB67" s="170"/>
      <c r="UQC67" s="170"/>
      <c r="UQD67" s="170"/>
      <c r="UQE67" s="170"/>
      <c r="UQF67" s="170"/>
      <c r="UQG67" s="170"/>
      <c r="UQH67" s="170"/>
      <c r="UQI67" s="170"/>
      <c r="UQJ67" s="170"/>
      <c r="UQK67" s="170"/>
      <c r="UQL67" s="170"/>
      <c r="UQM67" s="170"/>
      <c r="UQN67" s="170"/>
      <c r="UQO67" s="170"/>
      <c r="UQP67" s="170"/>
      <c r="UQQ67" s="170"/>
      <c r="UQR67" s="170"/>
      <c r="UQS67" s="170"/>
      <c r="UQT67" s="170"/>
      <c r="UQU67" s="170"/>
      <c r="UQV67" s="170"/>
      <c r="UQW67" s="170"/>
      <c r="UQX67" s="170"/>
      <c r="UQY67" s="170"/>
      <c r="UQZ67" s="170"/>
      <c r="URA67" s="170"/>
      <c r="URB67" s="170"/>
      <c r="URC67" s="170"/>
      <c r="URD67" s="170"/>
      <c r="URE67" s="170"/>
      <c r="URF67" s="170"/>
      <c r="URG67" s="170"/>
      <c r="URH67" s="170"/>
      <c r="URI67" s="170"/>
      <c r="URJ67" s="170"/>
      <c r="URK67" s="170"/>
      <c r="URL67" s="170"/>
      <c r="URM67" s="170"/>
      <c r="URN67" s="170"/>
      <c r="URO67" s="170"/>
      <c r="URP67" s="170"/>
      <c r="URQ67" s="170"/>
      <c r="URR67" s="170"/>
      <c r="URS67" s="170"/>
      <c r="URT67" s="170"/>
      <c r="URU67" s="170"/>
      <c r="URV67" s="170"/>
      <c r="URW67" s="170"/>
      <c r="URX67" s="170"/>
      <c r="URY67" s="170"/>
      <c r="URZ67" s="170"/>
      <c r="USA67" s="170"/>
      <c r="USB67" s="170"/>
      <c r="USC67" s="170"/>
      <c r="USD67" s="170"/>
      <c r="USE67" s="170"/>
      <c r="USF67" s="170"/>
      <c r="USG67" s="170"/>
      <c r="USH67" s="170"/>
      <c r="USI67" s="170"/>
      <c r="USJ67" s="170"/>
      <c r="USK67" s="170"/>
      <c r="USL67" s="170"/>
      <c r="USM67" s="170"/>
      <c r="USN67" s="170"/>
      <c r="USO67" s="170"/>
      <c r="USP67" s="170"/>
      <c r="USQ67" s="170"/>
      <c r="USR67" s="170"/>
      <c r="USS67" s="170"/>
      <c r="UST67" s="170"/>
      <c r="USU67" s="170"/>
      <c r="USV67" s="170"/>
      <c r="USW67" s="170"/>
      <c r="USX67" s="170"/>
      <c r="USY67" s="170"/>
      <c r="USZ67" s="170"/>
      <c r="UTA67" s="170"/>
      <c r="UTB67" s="170"/>
      <c r="UTC67" s="170"/>
      <c r="UTD67" s="170"/>
      <c r="UTE67" s="170"/>
      <c r="UTF67" s="170"/>
      <c r="UTG67" s="170"/>
      <c r="UTH67" s="170"/>
      <c r="UTI67" s="170"/>
      <c r="UTJ67" s="170"/>
      <c r="UTK67" s="170"/>
      <c r="UTL67" s="170"/>
      <c r="UTM67" s="170"/>
      <c r="UTN67" s="170"/>
      <c r="UTO67" s="170"/>
      <c r="UTP67" s="170"/>
      <c r="UTQ67" s="170"/>
      <c r="UTR67" s="170"/>
      <c r="UTS67" s="170"/>
      <c r="UTT67" s="170"/>
      <c r="UTU67" s="170"/>
      <c r="UTV67" s="170"/>
      <c r="UTW67" s="170"/>
      <c r="UTX67" s="170"/>
      <c r="UTY67" s="170"/>
      <c r="UTZ67" s="170"/>
      <c r="UUA67" s="170"/>
      <c r="UUB67" s="170"/>
      <c r="UUC67" s="170"/>
      <c r="UUD67" s="170"/>
      <c r="UUE67" s="170"/>
      <c r="UUF67" s="170"/>
      <c r="UUG67" s="170"/>
      <c r="UUH67" s="170"/>
      <c r="UUI67" s="170"/>
      <c r="UUJ67" s="170"/>
      <c r="UUK67" s="170"/>
      <c r="UUL67" s="170"/>
      <c r="UUM67" s="170"/>
      <c r="UUN67" s="170"/>
      <c r="UUO67" s="170"/>
      <c r="UUP67" s="170"/>
      <c r="UUQ67" s="170"/>
      <c r="UUR67" s="170"/>
      <c r="UUS67" s="170"/>
      <c r="UUT67" s="170"/>
      <c r="UUU67" s="170"/>
      <c r="UUV67" s="170"/>
      <c r="UUW67" s="170"/>
      <c r="UUX67" s="170"/>
      <c r="UUY67" s="170"/>
      <c r="UUZ67" s="170"/>
      <c r="UVA67" s="170"/>
      <c r="UVB67" s="170"/>
      <c r="UVC67" s="170"/>
      <c r="UVD67" s="170"/>
      <c r="UVE67" s="170"/>
      <c r="UVF67" s="170"/>
      <c r="UVG67" s="170"/>
      <c r="UVH67" s="170"/>
      <c r="UVI67" s="170"/>
      <c r="UVJ67" s="170"/>
      <c r="UVK67" s="170"/>
      <c r="UVL67" s="170"/>
      <c r="UVM67" s="170"/>
      <c r="UVN67" s="170"/>
      <c r="UVO67" s="170"/>
      <c r="UVP67" s="170"/>
      <c r="UVQ67" s="170"/>
      <c r="UVR67" s="170"/>
      <c r="UVS67" s="170"/>
      <c r="UVT67" s="170"/>
      <c r="UVU67" s="170"/>
      <c r="UVV67" s="170"/>
      <c r="UVW67" s="170"/>
      <c r="UVX67" s="170"/>
      <c r="UVY67" s="170"/>
      <c r="UVZ67" s="170"/>
      <c r="UWA67" s="170"/>
      <c r="UWB67" s="170"/>
      <c r="UWC67" s="170"/>
      <c r="UWD67" s="170"/>
      <c r="UWE67" s="170"/>
      <c r="UWF67" s="170"/>
      <c r="UWG67" s="170"/>
      <c r="UWH67" s="170"/>
      <c r="UWI67" s="170"/>
      <c r="UWJ67" s="170"/>
      <c r="UWK67" s="170"/>
      <c r="UWL67" s="170"/>
      <c r="UWM67" s="170"/>
      <c r="UWN67" s="170"/>
      <c r="UWO67" s="170"/>
      <c r="UWP67" s="170"/>
      <c r="UWQ67" s="170"/>
      <c r="UWR67" s="170"/>
      <c r="UWS67" s="170"/>
      <c r="UWT67" s="170"/>
      <c r="UWU67" s="170"/>
      <c r="UWV67" s="170"/>
      <c r="UWW67" s="170"/>
      <c r="UWX67" s="170"/>
      <c r="UWY67" s="170"/>
      <c r="UWZ67" s="170"/>
      <c r="UXA67" s="170"/>
      <c r="UXB67" s="170"/>
      <c r="UXC67" s="170"/>
      <c r="UXD67" s="170"/>
      <c r="UXE67" s="170"/>
      <c r="UXF67" s="170"/>
      <c r="UXG67" s="170"/>
      <c r="UXH67" s="170"/>
      <c r="UXI67" s="170"/>
      <c r="UXJ67" s="170"/>
      <c r="UXK67" s="170"/>
      <c r="UXL67" s="170"/>
      <c r="UXM67" s="170"/>
      <c r="UXN67" s="170"/>
      <c r="UXO67" s="170"/>
      <c r="UXP67" s="170"/>
      <c r="UXQ67" s="170"/>
      <c r="UXR67" s="170"/>
      <c r="UXS67" s="170"/>
      <c r="UXT67" s="170"/>
      <c r="UXU67" s="170"/>
      <c r="UXV67" s="170"/>
      <c r="UXW67" s="170"/>
      <c r="UXX67" s="170"/>
      <c r="UXY67" s="170"/>
      <c r="UXZ67" s="170"/>
      <c r="UYA67" s="170"/>
      <c r="UYB67" s="170"/>
      <c r="UYC67" s="170"/>
      <c r="UYD67" s="170"/>
      <c r="UYE67" s="170"/>
      <c r="UYF67" s="170"/>
      <c r="UYG67" s="170"/>
      <c r="UYH67" s="170"/>
      <c r="UYI67" s="170"/>
      <c r="UYJ67" s="170"/>
      <c r="UYK67" s="170"/>
      <c r="UYL67" s="170"/>
      <c r="UYM67" s="170"/>
      <c r="UYN67" s="170"/>
      <c r="UYO67" s="170"/>
      <c r="UYP67" s="170"/>
      <c r="UYQ67" s="170"/>
      <c r="UYR67" s="170"/>
      <c r="UYS67" s="170"/>
      <c r="UYT67" s="170"/>
      <c r="UYU67" s="170"/>
      <c r="UYV67" s="170"/>
      <c r="UYW67" s="170"/>
      <c r="UYX67" s="170"/>
      <c r="UYY67" s="170"/>
      <c r="UYZ67" s="170"/>
      <c r="UZA67" s="170"/>
      <c r="UZB67" s="170"/>
      <c r="UZC67" s="170"/>
      <c r="UZD67" s="170"/>
      <c r="UZE67" s="170"/>
      <c r="UZF67" s="170"/>
      <c r="UZG67" s="170"/>
      <c r="UZH67" s="170"/>
      <c r="UZI67" s="170"/>
      <c r="UZJ67" s="170"/>
      <c r="UZK67" s="170"/>
      <c r="UZL67" s="170"/>
      <c r="UZM67" s="170"/>
      <c r="UZN67" s="170"/>
      <c r="UZO67" s="170"/>
      <c r="UZP67" s="170"/>
      <c r="UZQ67" s="170"/>
      <c r="UZR67" s="170"/>
      <c r="UZS67" s="170"/>
      <c r="UZT67" s="170"/>
      <c r="UZU67" s="170"/>
      <c r="UZV67" s="170"/>
      <c r="UZW67" s="170"/>
      <c r="UZX67" s="170"/>
      <c r="UZY67" s="170"/>
      <c r="UZZ67" s="170"/>
      <c r="VAA67" s="170"/>
      <c r="VAB67" s="170"/>
      <c r="VAC67" s="170"/>
      <c r="VAD67" s="170"/>
      <c r="VAE67" s="170"/>
      <c r="VAF67" s="170"/>
      <c r="VAG67" s="170"/>
      <c r="VAH67" s="170"/>
      <c r="VAI67" s="170"/>
      <c r="VAJ67" s="170"/>
      <c r="VAK67" s="170"/>
      <c r="VAL67" s="170"/>
      <c r="VAM67" s="170"/>
      <c r="VAN67" s="170"/>
      <c r="VAO67" s="170"/>
      <c r="VAP67" s="170"/>
      <c r="VAQ67" s="170"/>
      <c r="VAR67" s="170"/>
      <c r="VAS67" s="170"/>
      <c r="VAT67" s="170"/>
      <c r="VAU67" s="170"/>
      <c r="VAV67" s="170"/>
      <c r="VAW67" s="170"/>
      <c r="VAX67" s="170"/>
      <c r="VAY67" s="170"/>
      <c r="VAZ67" s="170"/>
      <c r="VBA67" s="170"/>
      <c r="VBB67" s="170"/>
      <c r="VBC67" s="170"/>
      <c r="VBD67" s="170"/>
      <c r="VBE67" s="170"/>
      <c r="VBF67" s="170"/>
      <c r="VBG67" s="170"/>
      <c r="VBH67" s="170"/>
      <c r="VBI67" s="170"/>
      <c r="VBJ67" s="170"/>
      <c r="VBK67" s="170"/>
      <c r="VBL67" s="170"/>
      <c r="VBM67" s="170"/>
      <c r="VBN67" s="170"/>
      <c r="VBO67" s="170"/>
      <c r="VBP67" s="170"/>
      <c r="VBQ67" s="170"/>
      <c r="VBR67" s="170"/>
      <c r="VBS67" s="170"/>
      <c r="VBT67" s="170"/>
      <c r="VBU67" s="170"/>
      <c r="VBV67" s="170"/>
      <c r="VBW67" s="170"/>
      <c r="VBX67" s="170"/>
      <c r="VBY67" s="170"/>
      <c r="VBZ67" s="170"/>
      <c r="VCA67" s="170"/>
      <c r="VCB67" s="170"/>
      <c r="VCC67" s="170"/>
      <c r="VCD67" s="170"/>
      <c r="VCE67" s="170"/>
      <c r="VCF67" s="170"/>
      <c r="VCG67" s="170"/>
      <c r="VCH67" s="170"/>
      <c r="VCI67" s="170"/>
      <c r="VCJ67" s="170"/>
      <c r="VCK67" s="170"/>
      <c r="VCL67" s="170"/>
      <c r="VCM67" s="170"/>
      <c r="VCN67" s="170"/>
      <c r="VCO67" s="170"/>
      <c r="VCP67" s="170"/>
      <c r="VCQ67" s="170"/>
      <c r="VCR67" s="170"/>
      <c r="VCS67" s="170"/>
      <c r="VCT67" s="170"/>
      <c r="VCU67" s="170"/>
      <c r="VCV67" s="170"/>
      <c r="VCW67" s="170"/>
      <c r="VCX67" s="170"/>
      <c r="VCY67" s="170"/>
      <c r="VCZ67" s="170"/>
      <c r="VDA67" s="170"/>
      <c r="VDB67" s="170"/>
      <c r="VDC67" s="170"/>
      <c r="VDD67" s="170"/>
      <c r="VDE67" s="170"/>
      <c r="VDF67" s="170"/>
      <c r="VDG67" s="170"/>
      <c r="VDH67" s="170"/>
      <c r="VDI67" s="170"/>
      <c r="VDJ67" s="170"/>
      <c r="VDK67" s="170"/>
      <c r="VDL67" s="170"/>
      <c r="VDM67" s="170"/>
      <c r="VDN67" s="170"/>
      <c r="VDO67" s="170"/>
      <c r="VDP67" s="170"/>
      <c r="VDQ67" s="170"/>
      <c r="VDR67" s="170"/>
      <c r="VDS67" s="170"/>
      <c r="VDT67" s="170"/>
      <c r="VDU67" s="170"/>
      <c r="VDV67" s="170"/>
      <c r="VDW67" s="170"/>
      <c r="VDX67" s="170"/>
      <c r="VDY67" s="170"/>
      <c r="VDZ67" s="170"/>
      <c r="VEA67" s="170"/>
      <c r="VEB67" s="170"/>
      <c r="VEC67" s="170"/>
      <c r="VED67" s="170"/>
      <c r="VEE67" s="170"/>
      <c r="VEF67" s="170"/>
      <c r="VEG67" s="170"/>
      <c r="VEH67" s="170"/>
      <c r="VEI67" s="170"/>
      <c r="VEJ67" s="170"/>
      <c r="VEK67" s="170"/>
      <c r="VEL67" s="170"/>
      <c r="VEM67" s="170"/>
      <c r="VEN67" s="170"/>
      <c r="VEO67" s="170"/>
      <c r="VEP67" s="170"/>
      <c r="VEQ67" s="170"/>
      <c r="VER67" s="170"/>
      <c r="VES67" s="170"/>
      <c r="VET67" s="170"/>
      <c r="VEU67" s="170"/>
      <c r="VEV67" s="170"/>
      <c r="VEW67" s="170"/>
      <c r="VEX67" s="170"/>
      <c r="VEY67" s="170"/>
      <c r="VEZ67" s="170"/>
      <c r="VFA67" s="170"/>
      <c r="VFB67" s="170"/>
      <c r="VFC67" s="170"/>
      <c r="VFD67" s="170"/>
      <c r="VFE67" s="170"/>
      <c r="VFF67" s="170"/>
      <c r="VFG67" s="170"/>
      <c r="VFH67" s="170"/>
      <c r="VFI67" s="170"/>
      <c r="VFJ67" s="170"/>
      <c r="VFK67" s="170"/>
      <c r="VFL67" s="170"/>
      <c r="VFM67" s="170"/>
      <c r="VFN67" s="170"/>
      <c r="VFO67" s="170"/>
      <c r="VFP67" s="170"/>
      <c r="VFQ67" s="170"/>
      <c r="VFR67" s="170"/>
      <c r="VFS67" s="170"/>
      <c r="VFT67" s="170"/>
      <c r="VFU67" s="170"/>
      <c r="VFV67" s="170"/>
      <c r="VFW67" s="170"/>
      <c r="VFX67" s="170"/>
      <c r="VFY67" s="170"/>
      <c r="VFZ67" s="170"/>
      <c r="VGA67" s="170"/>
      <c r="VGB67" s="170"/>
      <c r="VGC67" s="170"/>
      <c r="VGD67" s="170"/>
      <c r="VGE67" s="170"/>
      <c r="VGF67" s="170"/>
      <c r="VGG67" s="170"/>
      <c r="VGH67" s="170"/>
      <c r="VGI67" s="170"/>
      <c r="VGJ67" s="170"/>
      <c r="VGK67" s="170"/>
      <c r="VGL67" s="170"/>
      <c r="VGM67" s="170"/>
      <c r="VGN67" s="170"/>
      <c r="VGO67" s="170"/>
      <c r="VGP67" s="170"/>
      <c r="VGQ67" s="170"/>
      <c r="VGR67" s="170"/>
      <c r="VGS67" s="170"/>
      <c r="VGT67" s="170"/>
      <c r="VGU67" s="170"/>
      <c r="VGV67" s="170"/>
      <c r="VGW67" s="170"/>
      <c r="VGX67" s="170"/>
      <c r="VGY67" s="170"/>
      <c r="VGZ67" s="170"/>
      <c r="VHA67" s="170"/>
      <c r="VHB67" s="170"/>
      <c r="VHC67" s="170"/>
      <c r="VHD67" s="170"/>
      <c r="VHE67" s="170"/>
      <c r="VHF67" s="170"/>
      <c r="VHG67" s="170"/>
      <c r="VHH67" s="170"/>
      <c r="VHI67" s="170"/>
      <c r="VHJ67" s="170"/>
      <c r="VHK67" s="170"/>
      <c r="VHL67" s="170"/>
      <c r="VHM67" s="170"/>
      <c r="VHN67" s="170"/>
      <c r="VHO67" s="170"/>
      <c r="VHP67" s="170"/>
      <c r="VHQ67" s="170"/>
      <c r="VHR67" s="170"/>
      <c r="VHS67" s="170"/>
      <c r="VHT67" s="170"/>
      <c r="VHU67" s="170"/>
      <c r="VHV67" s="170"/>
      <c r="VHW67" s="170"/>
      <c r="VHX67" s="170"/>
      <c r="VHY67" s="170"/>
      <c r="VHZ67" s="170"/>
      <c r="VIA67" s="170"/>
      <c r="VIB67" s="170"/>
      <c r="VIC67" s="170"/>
      <c r="VID67" s="170"/>
      <c r="VIE67" s="170"/>
      <c r="VIF67" s="170"/>
      <c r="VIG67" s="170"/>
      <c r="VIH67" s="170"/>
      <c r="VII67" s="170"/>
      <c r="VIJ67" s="170"/>
      <c r="VIK67" s="170"/>
      <c r="VIL67" s="170"/>
      <c r="VIM67" s="170"/>
      <c r="VIN67" s="170"/>
      <c r="VIO67" s="170"/>
      <c r="VIP67" s="170"/>
      <c r="VIQ67" s="170"/>
      <c r="VIR67" s="170"/>
      <c r="VIS67" s="170"/>
      <c r="VIT67" s="170"/>
      <c r="VIU67" s="170"/>
      <c r="VIV67" s="170"/>
      <c r="VIW67" s="170"/>
      <c r="VIX67" s="170"/>
      <c r="VIY67" s="170"/>
      <c r="VIZ67" s="170"/>
      <c r="VJA67" s="170"/>
      <c r="VJB67" s="170"/>
      <c r="VJC67" s="170"/>
      <c r="VJD67" s="170"/>
      <c r="VJE67" s="170"/>
      <c r="VJF67" s="170"/>
      <c r="VJG67" s="170"/>
      <c r="VJH67" s="170"/>
      <c r="VJI67" s="170"/>
      <c r="VJJ67" s="170"/>
      <c r="VJK67" s="170"/>
      <c r="VJL67" s="170"/>
      <c r="VJM67" s="170"/>
      <c r="VJN67" s="170"/>
      <c r="VJO67" s="170"/>
      <c r="VJP67" s="170"/>
      <c r="VJQ67" s="170"/>
      <c r="VJR67" s="170"/>
      <c r="VJS67" s="170"/>
      <c r="VJT67" s="170"/>
      <c r="VJU67" s="170"/>
      <c r="VJV67" s="170"/>
      <c r="VJW67" s="170"/>
      <c r="VJX67" s="170"/>
      <c r="VJY67" s="170"/>
      <c r="VJZ67" s="170"/>
      <c r="VKA67" s="170"/>
      <c r="VKB67" s="170"/>
      <c r="VKC67" s="170"/>
      <c r="VKD67" s="170"/>
      <c r="VKE67" s="170"/>
      <c r="VKF67" s="170"/>
      <c r="VKG67" s="170"/>
      <c r="VKH67" s="170"/>
      <c r="VKI67" s="170"/>
      <c r="VKJ67" s="170"/>
      <c r="VKK67" s="170"/>
      <c r="VKL67" s="170"/>
      <c r="VKM67" s="170"/>
      <c r="VKN67" s="170"/>
      <c r="VKO67" s="170"/>
      <c r="VKP67" s="170"/>
      <c r="VKQ67" s="170"/>
      <c r="VKR67" s="170"/>
      <c r="VKS67" s="170"/>
      <c r="VKT67" s="170"/>
      <c r="VKU67" s="170"/>
      <c r="VKV67" s="170"/>
      <c r="VKW67" s="170"/>
      <c r="VKX67" s="170"/>
      <c r="VKY67" s="170"/>
      <c r="VKZ67" s="170"/>
      <c r="VLA67" s="170"/>
      <c r="VLB67" s="170"/>
      <c r="VLC67" s="170"/>
      <c r="VLD67" s="170"/>
      <c r="VLE67" s="170"/>
      <c r="VLF67" s="170"/>
      <c r="VLG67" s="170"/>
      <c r="VLH67" s="170"/>
      <c r="VLI67" s="170"/>
      <c r="VLJ67" s="170"/>
      <c r="VLK67" s="170"/>
      <c r="VLL67" s="170"/>
      <c r="VLM67" s="170"/>
      <c r="VLN67" s="170"/>
      <c r="VLO67" s="170"/>
      <c r="VLP67" s="170"/>
      <c r="VLQ67" s="170"/>
      <c r="VLR67" s="170"/>
      <c r="VLS67" s="170"/>
      <c r="VLT67" s="170"/>
      <c r="VLU67" s="170"/>
      <c r="VLV67" s="170"/>
      <c r="VLW67" s="170"/>
      <c r="VLX67" s="170"/>
      <c r="VLY67" s="170"/>
      <c r="VLZ67" s="170"/>
      <c r="VMA67" s="170"/>
      <c r="VMB67" s="170"/>
      <c r="VMC67" s="170"/>
      <c r="VMD67" s="170"/>
      <c r="VME67" s="170"/>
      <c r="VMF67" s="170"/>
      <c r="VMG67" s="170"/>
      <c r="VMH67" s="170"/>
      <c r="VMI67" s="170"/>
      <c r="VMJ67" s="170"/>
      <c r="VMK67" s="170"/>
      <c r="VML67" s="170"/>
      <c r="VMM67" s="170"/>
      <c r="VMN67" s="170"/>
      <c r="VMO67" s="170"/>
      <c r="VMP67" s="170"/>
      <c r="VMQ67" s="170"/>
      <c r="VMR67" s="170"/>
      <c r="VMS67" s="170"/>
      <c r="VMT67" s="170"/>
      <c r="VMU67" s="170"/>
      <c r="VMV67" s="170"/>
      <c r="VMW67" s="170"/>
      <c r="VMX67" s="170"/>
      <c r="VMY67" s="170"/>
      <c r="VMZ67" s="170"/>
      <c r="VNA67" s="170"/>
      <c r="VNB67" s="170"/>
      <c r="VNC67" s="170"/>
      <c r="VND67" s="170"/>
      <c r="VNE67" s="170"/>
      <c r="VNF67" s="170"/>
      <c r="VNG67" s="170"/>
      <c r="VNH67" s="170"/>
      <c r="VNI67" s="170"/>
      <c r="VNJ67" s="170"/>
      <c r="VNK67" s="170"/>
      <c r="VNL67" s="170"/>
      <c r="VNM67" s="170"/>
      <c r="VNN67" s="170"/>
      <c r="VNO67" s="170"/>
      <c r="VNP67" s="170"/>
      <c r="VNQ67" s="170"/>
      <c r="VNR67" s="170"/>
      <c r="VNS67" s="170"/>
      <c r="VNT67" s="170"/>
      <c r="VNU67" s="170"/>
      <c r="VNV67" s="170"/>
      <c r="VNW67" s="170"/>
      <c r="VNX67" s="170"/>
      <c r="VNY67" s="170"/>
      <c r="VNZ67" s="170"/>
      <c r="VOA67" s="170"/>
      <c r="VOB67" s="170"/>
      <c r="VOC67" s="170"/>
      <c r="VOD67" s="170"/>
      <c r="VOE67" s="170"/>
      <c r="VOF67" s="170"/>
      <c r="VOG67" s="170"/>
      <c r="VOH67" s="170"/>
      <c r="VOI67" s="170"/>
      <c r="VOJ67" s="170"/>
      <c r="VOK67" s="170"/>
      <c r="VOL67" s="170"/>
      <c r="VOM67" s="170"/>
      <c r="VON67" s="170"/>
      <c r="VOO67" s="170"/>
      <c r="VOP67" s="170"/>
      <c r="VOQ67" s="170"/>
      <c r="VOR67" s="170"/>
      <c r="VOS67" s="170"/>
      <c r="VOT67" s="170"/>
      <c r="VOU67" s="170"/>
      <c r="VOV67" s="170"/>
      <c r="VOW67" s="170"/>
      <c r="VOX67" s="170"/>
      <c r="VOY67" s="170"/>
      <c r="VOZ67" s="170"/>
      <c r="VPA67" s="170"/>
      <c r="VPB67" s="170"/>
      <c r="VPC67" s="170"/>
      <c r="VPD67" s="170"/>
      <c r="VPE67" s="170"/>
      <c r="VPF67" s="170"/>
      <c r="VPG67" s="170"/>
      <c r="VPH67" s="170"/>
      <c r="VPI67" s="170"/>
      <c r="VPJ67" s="170"/>
      <c r="VPK67" s="170"/>
      <c r="VPL67" s="170"/>
      <c r="VPM67" s="170"/>
      <c r="VPN67" s="170"/>
      <c r="VPO67" s="170"/>
      <c r="VPP67" s="170"/>
      <c r="VPQ67" s="170"/>
      <c r="VPR67" s="170"/>
      <c r="VPS67" s="170"/>
      <c r="VPT67" s="170"/>
      <c r="VPU67" s="170"/>
      <c r="VPV67" s="170"/>
      <c r="VPW67" s="170"/>
      <c r="VPX67" s="170"/>
      <c r="VPY67" s="170"/>
      <c r="VPZ67" s="170"/>
      <c r="VQA67" s="170"/>
      <c r="VQB67" s="170"/>
      <c r="VQC67" s="170"/>
      <c r="VQD67" s="170"/>
      <c r="VQE67" s="170"/>
      <c r="VQF67" s="170"/>
      <c r="VQG67" s="170"/>
      <c r="VQH67" s="170"/>
      <c r="VQI67" s="170"/>
      <c r="VQJ67" s="170"/>
      <c r="VQK67" s="170"/>
      <c r="VQL67" s="170"/>
      <c r="VQM67" s="170"/>
      <c r="VQN67" s="170"/>
      <c r="VQO67" s="170"/>
      <c r="VQP67" s="170"/>
      <c r="VQQ67" s="170"/>
      <c r="VQR67" s="170"/>
      <c r="VQS67" s="170"/>
      <c r="VQT67" s="170"/>
      <c r="VQU67" s="170"/>
      <c r="VQV67" s="170"/>
      <c r="VQW67" s="170"/>
      <c r="VQX67" s="170"/>
      <c r="VQY67" s="170"/>
      <c r="VQZ67" s="170"/>
      <c r="VRA67" s="170"/>
      <c r="VRB67" s="170"/>
      <c r="VRC67" s="170"/>
      <c r="VRD67" s="170"/>
      <c r="VRE67" s="170"/>
      <c r="VRF67" s="170"/>
      <c r="VRG67" s="170"/>
      <c r="VRH67" s="170"/>
      <c r="VRI67" s="170"/>
      <c r="VRJ67" s="170"/>
      <c r="VRK67" s="170"/>
      <c r="VRL67" s="170"/>
      <c r="VRM67" s="170"/>
      <c r="VRN67" s="170"/>
      <c r="VRO67" s="170"/>
      <c r="VRP67" s="170"/>
      <c r="VRQ67" s="170"/>
      <c r="VRR67" s="170"/>
      <c r="VRS67" s="170"/>
      <c r="VRT67" s="170"/>
      <c r="VRU67" s="170"/>
      <c r="VRV67" s="170"/>
      <c r="VRW67" s="170"/>
      <c r="VRX67" s="170"/>
      <c r="VRY67" s="170"/>
      <c r="VRZ67" s="170"/>
      <c r="VSA67" s="170"/>
      <c r="VSB67" s="170"/>
      <c r="VSC67" s="170"/>
      <c r="VSD67" s="170"/>
      <c r="VSE67" s="170"/>
      <c r="VSF67" s="170"/>
      <c r="VSG67" s="170"/>
      <c r="VSH67" s="170"/>
      <c r="VSI67" s="170"/>
      <c r="VSJ67" s="170"/>
      <c r="VSK67" s="170"/>
      <c r="VSL67" s="170"/>
      <c r="VSM67" s="170"/>
      <c r="VSN67" s="170"/>
      <c r="VSO67" s="170"/>
      <c r="VSP67" s="170"/>
      <c r="VSQ67" s="170"/>
      <c r="VSR67" s="170"/>
      <c r="VSS67" s="170"/>
      <c r="VST67" s="170"/>
      <c r="VSU67" s="170"/>
      <c r="VSV67" s="170"/>
      <c r="VSW67" s="170"/>
      <c r="VSX67" s="170"/>
      <c r="VSY67" s="170"/>
      <c r="VSZ67" s="170"/>
      <c r="VTA67" s="170"/>
      <c r="VTB67" s="170"/>
      <c r="VTC67" s="170"/>
      <c r="VTD67" s="170"/>
      <c r="VTE67" s="170"/>
      <c r="VTF67" s="170"/>
      <c r="VTG67" s="170"/>
      <c r="VTH67" s="170"/>
      <c r="VTI67" s="170"/>
      <c r="VTJ67" s="170"/>
      <c r="VTK67" s="170"/>
      <c r="VTL67" s="170"/>
      <c r="VTM67" s="170"/>
      <c r="VTN67" s="170"/>
      <c r="VTO67" s="170"/>
      <c r="VTP67" s="170"/>
      <c r="VTQ67" s="170"/>
      <c r="VTR67" s="170"/>
      <c r="VTS67" s="170"/>
      <c r="VTT67" s="170"/>
      <c r="VTU67" s="170"/>
      <c r="VTV67" s="170"/>
      <c r="VTW67" s="170"/>
      <c r="VTX67" s="170"/>
      <c r="VTY67" s="170"/>
      <c r="VTZ67" s="170"/>
      <c r="VUA67" s="170"/>
      <c r="VUB67" s="170"/>
      <c r="VUC67" s="170"/>
      <c r="VUD67" s="170"/>
      <c r="VUE67" s="170"/>
      <c r="VUF67" s="170"/>
      <c r="VUG67" s="170"/>
      <c r="VUH67" s="170"/>
      <c r="VUI67" s="170"/>
      <c r="VUJ67" s="170"/>
      <c r="VUK67" s="170"/>
      <c r="VUL67" s="170"/>
      <c r="VUM67" s="170"/>
      <c r="VUN67" s="170"/>
      <c r="VUO67" s="170"/>
      <c r="VUP67" s="170"/>
      <c r="VUQ67" s="170"/>
      <c r="VUR67" s="170"/>
      <c r="VUS67" s="170"/>
      <c r="VUT67" s="170"/>
      <c r="VUU67" s="170"/>
      <c r="VUV67" s="170"/>
      <c r="VUW67" s="170"/>
      <c r="VUX67" s="170"/>
      <c r="VUY67" s="170"/>
      <c r="VUZ67" s="170"/>
      <c r="VVA67" s="170"/>
      <c r="VVB67" s="170"/>
      <c r="VVC67" s="170"/>
      <c r="VVD67" s="170"/>
      <c r="VVE67" s="170"/>
      <c r="VVF67" s="170"/>
      <c r="VVG67" s="170"/>
      <c r="VVH67" s="170"/>
      <c r="VVI67" s="170"/>
      <c r="VVJ67" s="170"/>
      <c r="VVK67" s="170"/>
      <c r="VVL67" s="170"/>
      <c r="VVM67" s="170"/>
      <c r="VVN67" s="170"/>
      <c r="VVO67" s="170"/>
      <c r="VVP67" s="170"/>
      <c r="VVQ67" s="170"/>
      <c r="VVR67" s="170"/>
      <c r="VVS67" s="170"/>
      <c r="VVT67" s="170"/>
      <c r="VVU67" s="170"/>
      <c r="VVV67" s="170"/>
      <c r="VVW67" s="170"/>
      <c r="VVX67" s="170"/>
      <c r="VVY67" s="170"/>
      <c r="VVZ67" s="170"/>
      <c r="VWA67" s="170"/>
      <c r="VWB67" s="170"/>
      <c r="VWC67" s="170"/>
      <c r="VWD67" s="170"/>
      <c r="VWE67" s="170"/>
      <c r="VWF67" s="170"/>
      <c r="VWG67" s="170"/>
      <c r="VWH67" s="170"/>
      <c r="VWI67" s="170"/>
      <c r="VWJ67" s="170"/>
      <c r="VWK67" s="170"/>
      <c r="VWL67" s="170"/>
      <c r="VWM67" s="170"/>
      <c r="VWN67" s="170"/>
      <c r="VWO67" s="170"/>
      <c r="VWP67" s="170"/>
      <c r="VWQ67" s="170"/>
      <c r="VWR67" s="170"/>
      <c r="VWS67" s="170"/>
      <c r="VWT67" s="170"/>
      <c r="VWU67" s="170"/>
      <c r="VWV67" s="170"/>
      <c r="VWW67" s="170"/>
      <c r="VWX67" s="170"/>
      <c r="VWY67" s="170"/>
      <c r="VWZ67" s="170"/>
      <c r="VXA67" s="170"/>
      <c r="VXB67" s="170"/>
      <c r="VXC67" s="170"/>
      <c r="VXD67" s="170"/>
      <c r="VXE67" s="170"/>
      <c r="VXF67" s="170"/>
      <c r="VXG67" s="170"/>
      <c r="VXH67" s="170"/>
      <c r="VXI67" s="170"/>
      <c r="VXJ67" s="170"/>
      <c r="VXK67" s="170"/>
      <c r="VXL67" s="170"/>
      <c r="VXM67" s="170"/>
      <c r="VXN67" s="170"/>
      <c r="VXO67" s="170"/>
      <c r="VXP67" s="170"/>
      <c r="VXQ67" s="170"/>
      <c r="VXR67" s="170"/>
      <c r="VXS67" s="170"/>
      <c r="VXT67" s="170"/>
      <c r="VXU67" s="170"/>
      <c r="VXV67" s="170"/>
      <c r="VXW67" s="170"/>
      <c r="VXX67" s="170"/>
      <c r="VXY67" s="170"/>
      <c r="VXZ67" s="170"/>
      <c r="VYA67" s="170"/>
      <c r="VYB67" s="170"/>
      <c r="VYC67" s="170"/>
      <c r="VYD67" s="170"/>
      <c r="VYE67" s="170"/>
      <c r="VYF67" s="170"/>
      <c r="VYG67" s="170"/>
      <c r="VYH67" s="170"/>
      <c r="VYI67" s="170"/>
      <c r="VYJ67" s="170"/>
      <c r="VYK67" s="170"/>
      <c r="VYL67" s="170"/>
      <c r="VYM67" s="170"/>
      <c r="VYN67" s="170"/>
      <c r="VYO67" s="170"/>
      <c r="VYP67" s="170"/>
      <c r="VYQ67" s="170"/>
      <c r="VYR67" s="170"/>
      <c r="VYS67" s="170"/>
      <c r="VYT67" s="170"/>
      <c r="VYU67" s="170"/>
      <c r="VYV67" s="170"/>
      <c r="VYW67" s="170"/>
      <c r="VYX67" s="170"/>
      <c r="VYY67" s="170"/>
      <c r="VYZ67" s="170"/>
      <c r="VZA67" s="170"/>
      <c r="VZB67" s="170"/>
      <c r="VZC67" s="170"/>
      <c r="VZD67" s="170"/>
      <c r="VZE67" s="170"/>
      <c r="VZF67" s="170"/>
      <c r="VZG67" s="170"/>
      <c r="VZH67" s="170"/>
      <c r="VZI67" s="170"/>
      <c r="VZJ67" s="170"/>
      <c r="VZK67" s="170"/>
      <c r="VZL67" s="170"/>
      <c r="VZM67" s="170"/>
      <c r="VZN67" s="170"/>
      <c r="VZO67" s="170"/>
      <c r="VZP67" s="170"/>
      <c r="VZQ67" s="170"/>
      <c r="VZR67" s="170"/>
      <c r="VZS67" s="170"/>
      <c r="VZT67" s="170"/>
      <c r="VZU67" s="170"/>
      <c r="VZV67" s="170"/>
      <c r="VZW67" s="170"/>
      <c r="VZX67" s="170"/>
      <c r="VZY67" s="170"/>
      <c r="VZZ67" s="170"/>
      <c r="WAA67" s="170"/>
      <c r="WAB67" s="170"/>
      <c r="WAC67" s="170"/>
      <c r="WAD67" s="170"/>
      <c r="WAE67" s="170"/>
      <c r="WAF67" s="170"/>
      <c r="WAG67" s="170"/>
      <c r="WAH67" s="170"/>
      <c r="WAI67" s="170"/>
      <c r="WAJ67" s="170"/>
      <c r="WAK67" s="170"/>
      <c r="WAL67" s="170"/>
      <c r="WAM67" s="170"/>
      <c r="WAN67" s="170"/>
      <c r="WAO67" s="170"/>
      <c r="WAP67" s="170"/>
      <c r="WAQ67" s="170"/>
      <c r="WAR67" s="170"/>
      <c r="WAS67" s="170"/>
      <c r="WAT67" s="170"/>
      <c r="WAU67" s="170"/>
      <c r="WAV67" s="170"/>
      <c r="WAW67" s="170"/>
      <c r="WAX67" s="170"/>
      <c r="WAY67" s="170"/>
      <c r="WAZ67" s="170"/>
      <c r="WBA67" s="170"/>
      <c r="WBB67" s="170"/>
      <c r="WBC67" s="170"/>
      <c r="WBD67" s="170"/>
      <c r="WBE67" s="170"/>
      <c r="WBF67" s="170"/>
      <c r="WBG67" s="170"/>
      <c r="WBH67" s="170"/>
      <c r="WBI67" s="170"/>
      <c r="WBJ67" s="170"/>
      <c r="WBK67" s="170"/>
      <c r="WBL67" s="170"/>
      <c r="WBM67" s="170"/>
      <c r="WBN67" s="170"/>
      <c r="WBO67" s="170"/>
      <c r="WBP67" s="170"/>
      <c r="WBQ67" s="170"/>
      <c r="WBR67" s="170"/>
      <c r="WBS67" s="170"/>
      <c r="WBT67" s="170"/>
      <c r="WBU67" s="170"/>
      <c r="WBV67" s="170"/>
      <c r="WBW67" s="170"/>
      <c r="WBX67" s="170"/>
      <c r="WBY67" s="170"/>
      <c r="WBZ67" s="170"/>
      <c r="WCA67" s="170"/>
      <c r="WCB67" s="170"/>
      <c r="WCC67" s="170"/>
      <c r="WCD67" s="170"/>
      <c r="WCE67" s="170"/>
      <c r="WCF67" s="170"/>
      <c r="WCG67" s="170"/>
      <c r="WCH67" s="170"/>
      <c r="WCI67" s="170"/>
      <c r="WCJ67" s="170"/>
      <c r="WCK67" s="170"/>
      <c r="WCL67" s="170"/>
      <c r="WCM67" s="170"/>
      <c r="WCN67" s="170"/>
      <c r="WCO67" s="170"/>
      <c r="WCP67" s="170"/>
      <c r="WCQ67" s="170"/>
      <c r="WCR67" s="170"/>
      <c r="WCS67" s="170"/>
      <c r="WCT67" s="170"/>
      <c r="WCU67" s="170"/>
      <c r="WCV67" s="170"/>
      <c r="WCW67" s="170"/>
      <c r="WCX67" s="170"/>
      <c r="WCY67" s="170"/>
      <c r="WCZ67" s="170"/>
      <c r="WDA67" s="170"/>
      <c r="WDB67" s="170"/>
      <c r="WDC67" s="170"/>
      <c r="WDD67" s="170"/>
      <c r="WDE67" s="170"/>
      <c r="WDF67" s="170"/>
      <c r="WDG67" s="170"/>
      <c r="WDH67" s="170"/>
      <c r="WDI67" s="170"/>
      <c r="WDJ67" s="170"/>
      <c r="WDK67" s="170"/>
      <c r="WDL67" s="170"/>
      <c r="WDM67" s="170"/>
      <c r="WDN67" s="170"/>
      <c r="WDO67" s="170"/>
      <c r="WDP67" s="170"/>
      <c r="WDQ67" s="170"/>
      <c r="WDR67" s="170"/>
      <c r="WDS67" s="170"/>
      <c r="WDT67" s="170"/>
      <c r="WDU67" s="170"/>
      <c r="WDV67" s="170"/>
      <c r="WDW67" s="170"/>
      <c r="WDX67" s="170"/>
      <c r="WDY67" s="170"/>
      <c r="WDZ67" s="170"/>
      <c r="WEA67" s="170"/>
      <c r="WEB67" s="170"/>
      <c r="WEC67" s="170"/>
      <c r="WED67" s="170"/>
      <c r="WEE67" s="170"/>
      <c r="WEF67" s="170"/>
      <c r="WEG67" s="170"/>
      <c r="WEH67" s="170"/>
      <c r="WEI67" s="170"/>
      <c r="WEJ67" s="170"/>
      <c r="WEK67" s="170"/>
      <c r="WEL67" s="170"/>
      <c r="WEM67" s="170"/>
      <c r="WEN67" s="170"/>
      <c r="WEO67" s="170"/>
      <c r="WEP67" s="170"/>
      <c r="WEQ67" s="170"/>
      <c r="WER67" s="170"/>
      <c r="WES67" s="170"/>
      <c r="WET67" s="170"/>
      <c r="WEU67" s="170"/>
      <c r="WEV67" s="170"/>
      <c r="WEW67" s="170"/>
      <c r="WEX67" s="170"/>
      <c r="WEY67" s="170"/>
      <c r="WEZ67" s="170"/>
      <c r="WFA67" s="170"/>
      <c r="WFB67" s="170"/>
      <c r="WFC67" s="170"/>
      <c r="WFD67" s="170"/>
      <c r="WFE67" s="170"/>
      <c r="WFF67" s="170"/>
      <c r="WFG67" s="170"/>
      <c r="WFH67" s="170"/>
      <c r="WFI67" s="170"/>
      <c r="WFJ67" s="170"/>
      <c r="WFK67" s="170"/>
      <c r="WFL67" s="170"/>
      <c r="WFM67" s="170"/>
      <c r="WFN67" s="170"/>
      <c r="WFO67" s="170"/>
      <c r="WFP67" s="170"/>
      <c r="WFQ67" s="170"/>
      <c r="WFR67" s="170"/>
      <c r="WFS67" s="170"/>
      <c r="WFT67" s="170"/>
      <c r="WFU67" s="170"/>
      <c r="WFV67" s="170"/>
      <c r="WFW67" s="170"/>
      <c r="WFX67" s="170"/>
      <c r="WFY67" s="170"/>
      <c r="WFZ67" s="170"/>
      <c r="WGA67" s="170"/>
      <c r="WGB67" s="170"/>
      <c r="WGC67" s="170"/>
      <c r="WGD67" s="170"/>
      <c r="WGE67" s="170"/>
      <c r="WGF67" s="170"/>
      <c r="WGG67" s="170"/>
      <c r="WGH67" s="170"/>
      <c r="WGI67" s="170"/>
      <c r="WGJ67" s="170"/>
      <c r="WGK67" s="170"/>
      <c r="WGL67" s="170"/>
      <c r="WGM67" s="170"/>
      <c r="WGN67" s="170"/>
      <c r="WGO67" s="170"/>
      <c r="WGP67" s="170"/>
      <c r="WGQ67" s="170"/>
      <c r="WGR67" s="170"/>
      <c r="WGS67" s="170"/>
      <c r="WGT67" s="170"/>
      <c r="WGU67" s="170"/>
      <c r="WGV67" s="170"/>
      <c r="WGW67" s="170"/>
      <c r="WGX67" s="170"/>
      <c r="WGY67" s="170"/>
      <c r="WGZ67" s="170"/>
      <c r="WHA67" s="170"/>
      <c r="WHB67" s="170"/>
      <c r="WHC67" s="170"/>
      <c r="WHD67" s="170"/>
      <c r="WHE67" s="170"/>
      <c r="WHF67" s="170"/>
      <c r="WHG67" s="170"/>
      <c r="WHH67" s="170"/>
      <c r="WHI67" s="170"/>
      <c r="WHJ67" s="170"/>
      <c r="WHK67" s="170"/>
      <c r="WHL67" s="170"/>
      <c r="WHM67" s="170"/>
      <c r="WHN67" s="170"/>
      <c r="WHO67" s="170"/>
      <c r="WHP67" s="170"/>
      <c r="WHQ67" s="170"/>
      <c r="WHR67" s="170"/>
      <c r="WHS67" s="170"/>
      <c r="WHT67" s="170"/>
      <c r="WHU67" s="170"/>
      <c r="WHV67" s="170"/>
      <c r="WHW67" s="170"/>
      <c r="WHX67" s="170"/>
      <c r="WHY67" s="170"/>
      <c r="WHZ67" s="170"/>
      <c r="WIA67" s="170"/>
      <c r="WIB67" s="170"/>
      <c r="WIC67" s="170"/>
      <c r="WID67" s="170"/>
      <c r="WIE67" s="170"/>
      <c r="WIF67" s="170"/>
      <c r="WIG67" s="170"/>
      <c r="WIH67" s="170"/>
      <c r="WII67" s="170"/>
      <c r="WIJ67" s="170"/>
      <c r="WIK67" s="170"/>
      <c r="WIL67" s="170"/>
      <c r="WIM67" s="170"/>
      <c r="WIN67" s="170"/>
      <c r="WIO67" s="170"/>
      <c r="WIP67" s="170"/>
      <c r="WIQ67" s="170"/>
      <c r="WIR67" s="170"/>
      <c r="WIS67" s="170"/>
      <c r="WIT67" s="170"/>
      <c r="WIU67" s="170"/>
      <c r="WIV67" s="170"/>
      <c r="WIW67" s="170"/>
      <c r="WIX67" s="170"/>
      <c r="WIY67" s="170"/>
      <c r="WIZ67" s="170"/>
      <c r="WJA67" s="170"/>
      <c r="WJB67" s="170"/>
      <c r="WJC67" s="170"/>
      <c r="WJD67" s="170"/>
      <c r="WJE67" s="170"/>
      <c r="WJF67" s="170"/>
      <c r="WJG67" s="170"/>
      <c r="WJH67" s="170"/>
      <c r="WJI67" s="170"/>
      <c r="WJJ67" s="170"/>
      <c r="WJK67" s="170"/>
      <c r="WJL67" s="170"/>
      <c r="WJM67" s="170"/>
      <c r="WJN67" s="170"/>
      <c r="WJO67" s="170"/>
      <c r="WJP67" s="170"/>
      <c r="WJQ67" s="170"/>
      <c r="WJR67" s="170"/>
      <c r="WJS67" s="170"/>
      <c r="WJT67" s="170"/>
      <c r="WJU67" s="170"/>
      <c r="WJV67" s="170"/>
      <c r="WJW67" s="170"/>
      <c r="WJX67" s="170"/>
      <c r="WJY67" s="170"/>
      <c r="WJZ67" s="170"/>
      <c r="WKA67" s="170"/>
      <c r="WKB67" s="170"/>
      <c r="WKC67" s="170"/>
      <c r="WKD67" s="170"/>
      <c r="WKE67" s="170"/>
      <c r="WKF67" s="170"/>
      <c r="WKG67" s="170"/>
      <c r="WKH67" s="170"/>
      <c r="WKI67" s="170"/>
      <c r="WKJ67" s="170"/>
      <c r="WKK67" s="170"/>
      <c r="WKL67" s="170"/>
      <c r="WKM67" s="170"/>
      <c r="WKN67" s="170"/>
      <c r="WKO67" s="170"/>
      <c r="WKP67" s="170"/>
      <c r="WKQ67" s="170"/>
      <c r="WKR67" s="170"/>
      <c r="WKS67" s="170"/>
      <c r="WKT67" s="170"/>
      <c r="WKU67" s="170"/>
      <c r="WKV67" s="170"/>
      <c r="WKW67" s="170"/>
      <c r="WKX67" s="170"/>
      <c r="WKY67" s="170"/>
      <c r="WKZ67" s="170"/>
      <c r="WLA67" s="170"/>
      <c r="WLB67" s="170"/>
      <c r="WLC67" s="170"/>
      <c r="WLD67" s="170"/>
      <c r="WLE67" s="170"/>
      <c r="WLF67" s="170"/>
      <c r="WLG67" s="170"/>
      <c r="WLH67" s="170"/>
      <c r="WLI67" s="170"/>
      <c r="WLJ67" s="170"/>
      <c r="WLK67" s="170"/>
      <c r="WLL67" s="170"/>
      <c r="WLM67" s="170"/>
      <c r="WLN67" s="170"/>
      <c r="WLO67" s="170"/>
      <c r="WLP67" s="170"/>
      <c r="WLQ67" s="170"/>
      <c r="WLR67" s="170"/>
      <c r="WLS67" s="170"/>
      <c r="WLT67" s="170"/>
      <c r="WLU67" s="170"/>
      <c r="WLV67" s="170"/>
      <c r="WLW67" s="170"/>
      <c r="WLX67" s="170"/>
      <c r="WLY67" s="170"/>
      <c r="WLZ67" s="170"/>
      <c r="WMA67" s="170"/>
      <c r="WMB67" s="170"/>
      <c r="WMC67" s="170"/>
      <c r="WMD67" s="170"/>
      <c r="WME67" s="170"/>
      <c r="WMF67" s="170"/>
      <c r="WMG67" s="170"/>
      <c r="WMH67" s="170"/>
      <c r="WMI67" s="170"/>
      <c r="WMJ67" s="170"/>
      <c r="WMK67" s="170"/>
      <c r="WML67" s="170"/>
      <c r="WMM67" s="170"/>
      <c r="WMN67" s="170"/>
      <c r="WMO67" s="170"/>
      <c r="WMP67" s="170"/>
      <c r="WMQ67" s="170"/>
      <c r="WMR67" s="170"/>
      <c r="WMS67" s="170"/>
      <c r="WMT67" s="170"/>
      <c r="WMU67" s="170"/>
      <c r="WMV67" s="170"/>
      <c r="WMW67" s="170"/>
      <c r="WMX67" s="170"/>
      <c r="WMY67" s="170"/>
      <c r="WMZ67" s="170"/>
      <c r="WNA67" s="170"/>
      <c r="WNB67" s="170"/>
      <c r="WNC67" s="170"/>
      <c r="WND67" s="170"/>
      <c r="WNE67" s="170"/>
      <c r="WNF67" s="170"/>
      <c r="WNG67" s="170"/>
      <c r="WNH67" s="170"/>
      <c r="WNI67" s="170"/>
      <c r="WNJ67" s="170"/>
      <c r="WNK67" s="170"/>
      <c r="WNL67" s="170"/>
      <c r="WNM67" s="170"/>
      <c r="WNN67" s="170"/>
      <c r="WNO67" s="170"/>
      <c r="WNP67" s="170"/>
      <c r="WNQ67" s="170"/>
      <c r="WNR67" s="170"/>
      <c r="WNS67" s="170"/>
      <c r="WNT67" s="170"/>
      <c r="WNU67" s="170"/>
      <c r="WNV67" s="170"/>
      <c r="WNW67" s="170"/>
      <c r="WNX67" s="170"/>
      <c r="WNY67" s="170"/>
      <c r="WNZ67" s="170"/>
      <c r="WOA67" s="170"/>
      <c r="WOB67" s="170"/>
      <c r="WOC67" s="170"/>
      <c r="WOD67" s="170"/>
      <c r="WOE67" s="170"/>
      <c r="WOF67" s="170"/>
      <c r="WOG67" s="170"/>
      <c r="WOH67" s="170"/>
      <c r="WOI67" s="170"/>
      <c r="WOJ67" s="170"/>
      <c r="WOK67" s="170"/>
      <c r="WOL67" s="170"/>
      <c r="WOM67" s="170"/>
      <c r="WON67" s="170"/>
      <c r="WOO67" s="170"/>
      <c r="WOP67" s="170"/>
      <c r="WOQ67" s="170"/>
      <c r="WOR67" s="170"/>
      <c r="WOS67" s="170"/>
      <c r="WOT67" s="170"/>
      <c r="WOU67" s="170"/>
      <c r="WOV67" s="170"/>
      <c r="WOW67" s="170"/>
      <c r="WOX67" s="170"/>
      <c r="WOY67" s="170"/>
      <c r="WOZ67" s="170"/>
      <c r="WPA67" s="170"/>
      <c r="WPB67" s="170"/>
      <c r="WPC67" s="170"/>
      <c r="WPD67" s="170"/>
      <c r="WPE67" s="170"/>
      <c r="WPF67" s="170"/>
      <c r="WPG67" s="170"/>
      <c r="WPH67" s="170"/>
      <c r="WPI67" s="170"/>
      <c r="WPJ67" s="170"/>
      <c r="WPK67" s="170"/>
      <c r="WPL67" s="170"/>
      <c r="WPM67" s="170"/>
      <c r="WPN67" s="170"/>
      <c r="WPO67" s="170"/>
      <c r="WPP67" s="170"/>
      <c r="WPQ67" s="170"/>
      <c r="WPR67" s="170"/>
      <c r="WPS67" s="170"/>
      <c r="WPT67" s="170"/>
      <c r="WPU67" s="170"/>
      <c r="WPV67" s="170"/>
      <c r="WPW67" s="170"/>
      <c r="WPX67" s="170"/>
      <c r="WPY67" s="170"/>
      <c r="WPZ67" s="170"/>
      <c r="WQA67" s="170"/>
      <c r="WQB67" s="170"/>
      <c r="WQC67" s="170"/>
      <c r="WQD67" s="170"/>
      <c r="WQE67" s="170"/>
      <c r="WQF67" s="170"/>
      <c r="WQG67" s="170"/>
      <c r="WQH67" s="170"/>
      <c r="WQI67" s="170"/>
      <c r="WQJ67" s="170"/>
      <c r="WQK67" s="170"/>
      <c r="WQL67" s="170"/>
      <c r="WQM67" s="170"/>
      <c r="WQN67" s="170"/>
      <c r="WQO67" s="170"/>
      <c r="WQP67" s="170"/>
      <c r="WQQ67" s="170"/>
      <c r="WQR67" s="170"/>
      <c r="WQS67" s="170"/>
      <c r="WQT67" s="170"/>
      <c r="WQU67" s="170"/>
      <c r="WQV67" s="170"/>
      <c r="WQW67" s="170"/>
      <c r="WQX67" s="170"/>
      <c r="WQY67" s="170"/>
      <c r="WQZ67" s="170"/>
      <c r="WRA67" s="170"/>
      <c r="WRB67" s="170"/>
      <c r="WRC67" s="170"/>
      <c r="WRD67" s="170"/>
      <c r="WRE67" s="170"/>
      <c r="WRF67" s="170"/>
      <c r="WRG67" s="170"/>
      <c r="WRH67" s="170"/>
      <c r="WRI67" s="170"/>
      <c r="WRJ67" s="170"/>
      <c r="WRK67" s="170"/>
      <c r="WRL67" s="170"/>
      <c r="WRM67" s="170"/>
      <c r="WRN67" s="170"/>
      <c r="WRO67" s="170"/>
      <c r="WRP67" s="170"/>
      <c r="WRQ67" s="170"/>
      <c r="WRR67" s="170"/>
      <c r="WRS67" s="170"/>
      <c r="WRT67" s="170"/>
      <c r="WRU67" s="170"/>
      <c r="WRV67" s="170"/>
      <c r="WRW67" s="170"/>
      <c r="WRX67" s="170"/>
      <c r="WRY67" s="170"/>
      <c r="WRZ67" s="170"/>
      <c r="WSA67" s="170"/>
      <c r="WSB67" s="170"/>
      <c r="WSC67" s="170"/>
      <c r="WSD67" s="170"/>
      <c r="WSE67" s="170"/>
      <c r="WSF67" s="170"/>
      <c r="WSG67" s="170"/>
      <c r="WSH67" s="170"/>
      <c r="WSI67" s="170"/>
      <c r="WSJ67" s="170"/>
      <c r="WSK67" s="170"/>
      <c r="WSL67" s="170"/>
      <c r="WSM67" s="170"/>
      <c r="WSN67" s="170"/>
      <c r="WSO67" s="170"/>
      <c r="WSP67" s="170"/>
      <c r="WSQ67" s="170"/>
      <c r="WSR67" s="170"/>
      <c r="WSS67" s="170"/>
      <c r="WST67" s="170"/>
      <c r="WSU67" s="170"/>
      <c r="WSV67" s="170"/>
      <c r="WSW67" s="170"/>
      <c r="WSX67" s="170"/>
      <c r="WSY67" s="170"/>
      <c r="WSZ67" s="170"/>
      <c r="WTA67" s="170"/>
      <c r="WTB67" s="170"/>
      <c r="WTC67" s="170"/>
      <c r="WTD67" s="170"/>
      <c r="WTE67" s="170"/>
      <c r="WTF67" s="170"/>
      <c r="WTG67" s="170"/>
      <c r="WTH67" s="170"/>
      <c r="WTI67" s="170"/>
      <c r="WTJ67" s="170"/>
      <c r="WTK67" s="170"/>
      <c r="WTL67" s="170"/>
      <c r="WTM67" s="170"/>
      <c r="WTN67" s="170"/>
      <c r="WTO67" s="170"/>
      <c r="WTP67" s="170"/>
      <c r="WTQ67" s="170"/>
      <c r="WTR67" s="170"/>
      <c r="WTS67" s="170"/>
      <c r="WTT67" s="170"/>
      <c r="WTU67" s="170"/>
      <c r="WTV67" s="170"/>
      <c r="WTW67" s="170"/>
      <c r="WTX67" s="170"/>
      <c r="WTY67" s="170"/>
      <c r="WTZ67" s="170"/>
      <c r="WUA67" s="170"/>
      <c r="WUB67" s="170"/>
      <c r="WUC67" s="170"/>
      <c r="WUD67" s="170"/>
      <c r="WUE67" s="170"/>
      <c r="WUF67" s="170"/>
      <c r="WUG67" s="170"/>
      <c r="WUH67" s="170"/>
      <c r="WUI67" s="170"/>
      <c r="WUJ67" s="170"/>
      <c r="WUK67" s="170"/>
      <c r="WUL67" s="170"/>
      <c r="WUM67" s="170"/>
      <c r="WUN67" s="170"/>
      <c r="WUO67" s="170"/>
      <c r="WUP67" s="170"/>
      <c r="WUQ67" s="170"/>
      <c r="WUR67" s="170"/>
      <c r="WUS67" s="170"/>
      <c r="WUT67" s="170"/>
      <c r="WUU67" s="170"/>
      <c r="WUV67" s="170"/>
      <c r="WUW67" s="170"/>
      <c r="WUX67" s="170"/>
      <c r="WUY67" s="170"/>
      <c r="WUZ67" s="170"/>
      <c r="WVA67" s="170"/>
      <c r="WVB67" s="170"/>
      <c r="WVC67" s="170"/>
      <c r="WVD67" s="170"/>
      <c r="WVE67" s="170"/>
      <c r="WVF67" s="170"/>
      <c r="WVG67" s="170"/>
      <c r="WVH67" s="170"/>
      <c r="WVI67" s="170"/>
      <c r="WVJ67" s="170"/>
      <c r="WVK67" s="170"/>
      <c r="WVL67" s="170"/>
      <c r="WVM67" s="170"/>
      <c r="WVN67" s="170"/>
      <c r="WVO67" s="170"/>
      <c r="WVP67" s="170"/>
      <c r="WVQ67" s="170"/>
      <c r="WVR67" s="170"/>
      <c r="WVS67" s="170"/>
      <c r="WVT67" s="170"/>
      <c r="WVU67" s="170"/>
      <c r="WVV67" s="170"/>
      <c r="WVW67" s="170"/>
      <c r="WVX67" s="170"/>
      <c r="WVY67" s="170"/>
      <c r="WVZ67" s="170"/>
      <c r="WWA67" s="170"/>
      <c r="WWB67" s="170"/>
      <c r="WWC67" s="170"/>
      <c r="WWD67" s="170"/>
      <c r="WWE67" s="170"/>
      <c r="WWF67" s="170"/>
      <c r="WWG67" s="170"/>
      <c r="WWH67" s="170"/>
      <c r="WWI67" s="170"/>
      <c r="WWJ67" s="170"/>
      <c r="WWK67" s="170"/>
      <c r="WWL67" s="170"/>
      <c r="WWM67" s="170"/>
      <c r="WWN67" s="170"/>
      <c r="WWO67" s="170"/>
      <c r="WWP67" s="170"/>
      <c r="WWQ67" s="170"/>
      <c r="WWR67" s="170"/>
      <c r="WWS67" s="170"/>
      <c r="WWT67" s="170"/>
      <c r="WWU67" s="170"/>
      <c r="WWV67" s="170"/>
      <c r="WWW67" s="170"/>
      <c r="WWX67" s="170"/>
      <c r="WWY67" s="170"/>
      <c r="WWZ67" s="170"/>
      <c r="WXA67" s="170"/>
      <c r="WXB67" s="170"/>
      <c r="WXC67" s="170"/>
      <c r="WXD67" s="170"/>
      <c r="WXE67" s="170"/>
      <c r="WXF67" s="170"/>
      <c r="WXG67" s="170"/>
      <c r="WXH67" s="170"/>
      <c r="WXI67" s="170"/>
      <c r="WXJ67" s="170"/>
      <c r="WXK67" s="170"/>
      <c r="WXL67" s="170"/>
      <c r="WXM67" s="170"/>
      <c r="WXN67" s="170"/>
      <c r="WXO67" s="170"/>
      <c r="WXP67" s="170"/>
      <c r="WXQ67" s="170"/>
      <c r="WXR67" s="170"/>
      <c r="WXS67" s="170"/>
      <c r="WXT67" s="170"/>
      <c r="WXU67" s="170"/>
      <c r="WXV67" s="170"/>
      <c r="WXW67" s="170"/>
      <c r="WXX67" s="170"/>
      <c r="WXY67" s="170"/>
      <c r="WXZ67" s="170"/>
      <c r="WYA67" s="170"/>
      <c r="WYB67" s="170"/>
      <c r="WYC67" s="170"/>
      <c r="WYD67" s="170"/>
      <c r="WYE67" s="170"/>
      <c r="WYF67" s="170"/>
      <c r="WYG67" s="170"/>
      <c r="WYH67" s="170"/>
      <c r="WYI67" s="170"/>
      <c r="WYJ67" s="170"/>
      <c r="WYK67" s="170"/>
      <c r="WYL67" s="170"/>
      <c r="WYM67" s="170"/>
      <c r="WYN67" s="170"/>
      <c r="WYO67" s="170"/>
      <c r="WYP67" s="170"/>
      <c r="WYQ67" s="170"/>
      <c r="WYR67" s="170"/>
      <c r="WYS67" s="170"/>
      <c r="WYT67" s="170"/>
      <c r="WYU67" s="170"/>
      <c r="WYV67" s="170"/>
      <c r="WYW67" s="170"/>
      <c r="WYX67" s="170"/>
      <c r="WYY67" s="170"/>
      <c r="WYZ67" s="170"/>
      <c r="WZA67" s="170"/>
      <c r="WZB67" s="170"/>
      <c r="WZC67" s="170"/>
      <c r="WZD67" s="170"/>
      <c r="WZE67" s="170"/>
      <c r="WZF67" s="170"/>
      <c r="WZG67" s="170"/>
      <c r="WZH67" s="170"/>
      <c r="WZI67" s="170"/>
      <c r="WZJ67" s="170"/>
      <c r="WZK67" s="170"/>
      <c r="WZL67" s="170"/>
      <c r="WZM67" s="170"/>
      <c r="WZN67" s="170"/>
      <c r="WZO67" s="170"/>
      <c r="WZP67" s="170"/>
      <c r="WZQ67" s="170"/>
      <c r="WZR67" s="170"/>
      <c r="WZS67" s="170"/>
      <c r="WZT67" s="170"/>
      <c r="WZU67" s="170"/>
      <c r="WZV67" s="170"/>
      <c r="WZW67" s="170"/>
      <c r="WZX67" s="170"/>
      <c r="WZY67" s="170"/>
      <c r="WZZ67" s="170"/>
      <c r="XAA67" s="170"/>
      <c r="XAB67" s="170"/>
      <c r="XAC67" s="170"/>
      <c r="XAD67" s="170"/>
      <c r="XAE67" s="170"/>
      <c r="XAF67" s="170"/>
      <c r="XAG67" s="170"/>
      <c r="XAH67" s="170"/>
      <c r="XAI67" s="170"/>
      <c r="XAJ67" s="170"/>
      <c r="XAK67" s="170"/>
      <c r="XAL67" s="170"/>
      <c r="XAM67" s="170"/>
      <c r="XAN67" s="170"/>
      <c r="XAO67" s="170"/>
      <c r="XAP67" s="170"/>
      <c r="XAQ67" s="170"/>
      <c r="XAR67" s="170"/>
      <c r="XAS67" s="170"/>
      <c r="XAT67" s="170"/>
      <c r="XAU67" s="170"/>
      <c r="XAV67" s="170"/>
      <c r="XAW67" s="170"/>
      <c r="XAX67" s="170"/>
      <c r="XAY67" s="170"/>
      <c r="XAZ67" s="170"/>
      <c r="XBA67" s="170"/>
      <c r="XBB67" s="170"/>
      <c r="XBC67" s="170"/>
      <c r="XBD67" s="170"/>
      <c r="XBE67" s="170"/>
      <c r="XBF67" s="170"/>
      <c r="XBG67" s="170"/>
      <c r="XBH67" s="170"/>
      <c r="XBI67" s="170"/>
      <c r="XBJ67" s="170"/>
      <c r="XBK67" s="170"/>
      <c r="XBL67" s="170"/>
      <c r="XBM67" s="170"/>
      <c r="XBN67" s="170"/>
      <c r="XBO67" s="170"/>
      <c r="XBP67" s="170"/>
      <c r="XBQ67" s="170"/>
      <c r="XBR67" s="170"/>
      <c r="XBS67" s="170"/>
      <c r="XBT67" s="170"/>
      <c r="XBU67" s="170"/>
      <c r="XBV67" s="170"/>
      <c r="XBW67" s="170"/>
      <c r="XBX67" s="170"/>
      <c r="XBY67" s="170"/>
      <c r="XBZ67" s="170"/>
      <c r="XCA67" s="170"/>
      <c r="XCB67" s="170"/>
      <c r="XCC67" s="170"/>
      <c r="XCD67" s="170"/>
      <c r="XCE67" s="170"/>
      <c r="XCF67" s="170"/>
      <c r="XCG67" s="170"/>
      <c r="XCH67" s="170"/>
      <c r="XCI67" s="170"/>
      <c r="XCJ67" s="170"/>
      <c r="XCK67" s="170"/>
      <c r="XCL67" s="170"/>
      <c r="XCM67" s="170"/>
      <c r="XCN67" s="170"/>
      <c r="XCO67" s="170"/>
      <c r="XCP67" s="170"/>
      <c r="XCQ67" s="170"/>
      <c r="XCR67" s="170"/>
      <c r="XCS67" s="170"/>
      <c r="XCT67" s="170"/>
      <c r="XCU67" s="170"/>
      <c r="XCV67" s="170"/>
      <c r="XCW67" s="170"/>
      <c r="XCX67" s="170"/>
      <c r="XCY67" s="170"/>
      <c r="XCZ67" s="170"/>
      <c r="XDA67" s="170"/>
      <c r="XDB67" s="170"/>
      <c r="XDC67" s="170"/>
      <c r="XDD67" s="170"/>
      <c r="XDE67" s="170"/>
      <c r="XDF67" s="170"/>
      <c r="XDG67" s="170"/>
      <c r="XDH67" s="170"/>
      <c r="XDI67" s="170"/>
      <c r="XDJ67" s="170"/>
      <c r="XDK67" s="170"/>
      <c r="XDL67" s="170"/>
      <c r="XDM67" s="170"/>
      <c r="XDN67" s="170"/>
      <c r="XDO67" s="170"/>
      <c r="XDP67" s="170"/>
      <c r="XDQ67" s="170"/>
      <c r="XDR67" s="170"/>
      <c r="XDS67" s="170"/>
      <c r="XDT67" s="170"/>
      <c r="XDU67" s="170"/>
      <c r="XDV67" s="170"/>
      <c r="XDW67" s="170"/>
      <c r="XDX67" s="170"/>
      <c r="XDY67" s="170"/>
      <c r="XDZ67" s="170"/>
      <c r="XEA67" s="170"/>
      <c r="XEB67" s="170"/>
      <c r="XEC67" s="170"/>
      <c r="XED67" s="170"/>
      <c r="XEE67" s="170"/>
      <c r="XEF67" s="170"/>
      <c r="XEG67" s="170"/>
      <c r="XEH67" s="170"/>
      <c r="XEI67" s="170"/>
      <c r="XEJ67" s="170"/>
      <c r="XEK67" s="170"/>
      <c r="XEL67" s="170"/>
      <c r="XEM67" s="170"/>
      <c r="XEN67" s="170"/>
      <c r="XEO67" s="170"/>
      <c r="XEP67" s="170"/>
      <c r="XEQ67" s="170"/>
      <c r="XER67" s="170"/>
      <c r="XES67" s="170"/>
      <c r="XET67" s="170"/>
      <c r="XEU67" s="170"/>
      <c r="XEV67" s="170"/>
      <c r="XEW67" s="170"/>
      <c r="XEX67" s="170"/>
      <c r="XEY67" s="170"/>
      <c r="XEZ67" s="170"/>
      <c r="XFA67" s="170"/>
      <c r="XFB67" s="170"/>
      <c r="XFC67" s="170"/>
      <c r="XFD67" s="170"/>
    </row>
    <row r="68" spans="1:16384" s="46" customFormat="1" ht="12.75" customHeight="1" thickTop="1">
      <c r="A68" s="35"/>
      <c r="B68" s="294"/>
      <c r="C68" s="295"/>
      <c r="D68" s="295"/>
      <c r="E68" s="295"/>
      <c r="F68" s="295"/>
      <c r="G68" s="295"/>
      <c r="H68" s="295"/>
      <c r="I68" s="174"/>
      <c r="J68" s="174"/>
      <c r="K68" s="174"/>
      <c r="L68" s="174"/>
      <c r="M68" s="174"/>
      <c r="N68" s="174"/>
      <c r="O68" s="174"/>
      <c r="P68" s="174"/>
      <c r="Q68" s="174"/>
      <c r="R68" s="35"/>
      <c r="S68" s="63"/>
      <c r="T68" s="63"/>
      <c r="U68" s="63"/>
      <c r="V68" s="63"/>
      <c r="W68" s="63"/>
      <c r="X68" s="63"/>
      <c r="Y68" s="63"/>
      <c r="Z68" s="63"/>
      <c r="AA68" s="63"/>
      <c r="AB68" s="63"/>
      <c r="AC68" s="63"/>
      <c r="AD68" s="63"/>
      <c r="AE68" s="63"/>
      <c r="AF68" s="35"/>
      <c r="AG68" s="63"/>
      <c r="AH68" s="63"/>
      <c r="AI68" s="63"/>
      <c r="AJ68" s="63"/>
      <c r="AN68" s="439"/>
    </row>
    <row r="69" spans="1:16384" s="46" customFormat="1" ht="12.75" customHeight="1">
      <c r="A69" s="106" t="s">
        <v>1637</v>
      </c>
      <c r="B69" s="173"/>
      <c r="C69" s="175"/>
      <c r="D69" s="176"/>
      <c r="E69" s="176"/>
      <c r="F69" s="176"/>
      <c r="G69" s="176"/>
      <c r="H69" s="176"/>
      <c r="I69" s="176"/>
      <c r="J69" s="176"/>
      <c r="Y69" s="177"/>
      <c r="Z69" s="177"/>
      <c r="AA69" s="177"/>
      <c r="AB69" s="177"/>
      <c r="AE69" s="2352" t="s">
        <v>408</v>
      </c>
      <c r="AF69" s="2352"/>
      <c r="AG69" s="2352"/>
      <c r="AH69" s="2352"/>
      <c r="AI69" s="2352"/>
      <c r="AJ69" s="2352"/>
      <c r="AK69" s="2352"/>
      <c r="AL69" s="1301"/>
      <c r="AM69" s="153"/>
      <c r="AN69" s="439"/>
    </row>
    <row r="70" spans="1:16384" s="46" customFormat="1" ht="12.75" customHeight="1">
      <c r="A70" s="106"/>
      <c r="B70" s="173"/>
      <c r="C70" s="178"/>
      <c r="D70" s="176"/>
      <c r="E70" s="176"/>
      <c r="F70" s="176"/>
      <c r="G70" s="176"/>
      <c r="R70" s="177"/>
      <c r="S70" s="177"/>
      <c r="T70" s="177"/>
      <c r="U70" s="177"/>
      <c r="V70" s="177"/>
      <c r="W70" s="177"/>
      <c r="X70" s="177"/>
      <c r="Y70" s="177"/>
      <c r="Z70" s="177"/>
      <c r="AA70" s="177"/>
      <c r="AB70" s="177"/>
      <c r="AC70" s="26"/>
      <c r="AD70" s="26"/>
      <c r="AM70" s="153"/>
      <c r="AN70" s="439"/>
    </row>
    <row r="71" spans="1:16384" s="46" customFormat="1" ht="12.75" customHeight="1">
      <c r="B71" s="2472" t="s">
        <v>730</v>
      </c>
      <c r="C71" s="2472"/>
      <c r="D71" s="2472"/>
      <c r="E71" s="2472"/>
      <c r="F71" s="2472"/>
      <c r="G71" s="2472"/>
      <c r="H71" s="2472"/>
      <c r="I71" s="2472"/>
      <c r="J71" s="2472"/>
      <c r="K71" s="2472"/>
      <c r="P71" s="153"/>
      <c r="Q71" s="153"/>
      <c r="R71" s="153"/>
      <c r="S71" s="153"/>
      <c r="T71" s="153"/>
      <c r="U71" s="153"/>
      <c r="V71" s="153"/>
      <c r="W71" s="153"/>
      <c r="X71" s="153"/>
      <c r="AF71" s="2378" t="s">
        <v>1042</v>
      </c>
      <c r="AG71" s="2378"/>
      <c r="AH71" s="2378"/>
      <c r="AI71" s="2378"/>
      <c r="AJ71" s="2378"/>
      <c r="AK71" s="2378"/>
      <c r="AL71" s="2378"/>
      <c r="AN71" s="439"/>
      <c r="AP71" s="46" t="s">
        <v>136</v>
      </c>
    </row>
    <row r="72" spans="1:16384" s="46" customFormat="1" ht="12.75" customHeight="1">
      <c r="B72" s="2487" t="s">
        <v>1460</v>
      </c>
      <c r="C72" s="2487"/>
      <c r="D72" s="2487"/>
      <c r="E72" s="2487"/>
      <c r="F72" s="2487"/>
      <c r="G72" s="2487"/>
      <c r="H72" s="2487"/>
      <c r="I72" s="2487"/>
      <c r="J72" s="2487"/>
      <c r="K72" s="2487"/>
      <c r="L72" s="2487"/>
      <c r="M72" s="2487"/>
      <c r="N72" s="2487"/>
      <c r="O72" s="2487"/>
      <c r="P72" s="2487"/>
      <c r="Q72" s="2487"/>
      <c r="R72" s="2487"/>
      <c r="S72" s="2487"/>
      <c r="T72" s="2472" t="s">
        <v>136</v>
      </c>
      <c r="U72" s="2472"/>
      <c r="V72" s="2472"/>
      <c r="W72" s="2472"/>
      <c r="X72" s="2472"/>
      <c r="Y72" s="2472"/>
      <c r="Z72" s="2472"/>
      <c r="AA72" s="2472"/>
      <c r="AB72" s="2472"/>
      <c r="AC72" s="2472"/>
      <c r="AD72" s="153"/>
      <c r="AE72" s="153"/>
      <c r="AF72" s="153"/>
      <c r="AG72" s="153"/>
      <c r="AH72" s="153"/>
      <c r="AI72" s="153"/>
      <c r="AJ72" s="147"/>
      <c r="AK72" s="25"/>
      <c r="AL72" s="25"/>
      <c r="AM72" s="25"/>
      <c r="AN72" s="439"/>
      <c r="AP72" s="46" t="s">
        <v>1458</v>
      </c>
    </row>
    <row r="73" spans="1:16384" s="46" customFormat="1" ht="12.75" customHeight="1">
      <c r="A73" s="156"/>
      <c r="B73" s="157"/>
      <c r="C73" s="157"/>
      <c r="D73" s="157"/>
      <c r="E73" s="157"/>
      <c r="F73" s="157"/>
      <c r="G73" s="157"/>
      <c r="H73" s="157"/>
      <c r="I73" s="157"/>
      <c r="J73" s="157"/>
      <c r="K73" s="157"/>
      <c r="L73" s="157"/>
      <c r="M73" s="157"/>
      <c r="N73" s="157"/>
      <c r="O73" s="157"/>
      <c r="P73" s="157"/>
      <c r="Q73" s="157"/>
      <c r="R73" s="157"/>
      <c r="S73" s="157"/>
      <c r="T73" s="157"/>
      <c r="U73" s="157"/>
      <c r="V73" s="157"/>
      <c r="W73" s="157"/>
      <c r="X73" s="157"/>
      <c r="Y73" s="157"/>
      <c r="Z73" s="157"/>
      <c r="AA73" s="157"/>
      <c r="AB73" s="157"/>
      <c r="AC73" s="157"/>
      <c r="AD73" s="157"/>
      <c r="AE73" s="157"/>
      <c r="AF73" s="157"/>
      <c r="AG73" s="157"/>
      <c r="AH73" s="157"/>
      <c r="AI73" s="1308"/>
      <c r="AJ73" s="1308" t="s">
        <v>648</v>
      </c>
      <c r="AK73" s="2373">
        <f>VLOOKUP($B$71,$AP$45:$AR$50,2,FALSE)</f>
        <v>10</v>
      </c>
      <c r="AL73" s="2456"/>
      <c r="AM73" s="2456"/>
      <c r="AN73" s="1329"/>
      <c r="AP73" s="46" t="s">
        <v>1459</v>
      </c>
    </row>
    <row r="74" spans="1:16384" s="46" customFormat="1" ht="12.75" customHeight="1" thickBot="1">
      <c r="A74" s="180"/>
      <c r="B74" s="180"/>
      <c r="C74" s="181"/>
      <c r="D74" s="182"/>
      <c r="E74" s="182"/>
      <c r="F74" s="172"/>
      <c r="G74" s="172"/>
      <c r="H74" s="172"/>
      <c r="I74" s="172"/>
      <c r="J74" s="172"/>
      <c r="K74" s="172"/>
      <c r="L74" s="172"/>
      <c r="M74" s="172"/>
      <c r="N74" s="172"/>
      <c r="O74" s="172"/>
      <c r="P74" s="172"/>
      <c r="Q74" s="172"/>
      <c r="R74" s="172"/>
      <c r="S74" s="172"/>
      <c r="T74" s="172"/>
      <c r="U74" s="172"/>
      <c r="V74" s="172"/>
      <c r="W74" s="172"/>
      <c r="X74" s="172"/>
      <c r="Y74" s="172"/>
      <c r="Z74" s="172"/>
      <c r="AA74" s="172"/>
      <c r="AB74" s="172"/>
      <c r="AC74" s="172"/>
      <c r="AD74" s="172"/>
      <c r="AE74" s="172"/>
      <c r="AF74" s="172"/>
      <c r="AG74" s="172"/>
      <c r="AH74" s="172"/>
      <c r="AI74" s="172"/>
      <c r="AJ74" s="171"/>
      <c r="AK74" s="171"/>
      <c r="AL74" s="171"/>
      <c r="AM74" s="171"/>
      <c r="AN74" s="439"/>
    </row>
    <row r="75" spans="1:16384" s="46" customFormat="1" ht="12.75" customHeight="1" thickTop="1">
      <c r="A75" s="35"/>
      <c r="B75" s="294"/>
      <c r="C75" s="295"/>
      <c r="D75" s="295"/>
      <c r="E75" s="295"/>
      <c r="F75" s="295"/>
      <c r="G75" s="295"/>
      <c r="H75" s="295"/>
      <c r="I75" s="174"/>
      <c r="J75" s="174"/>
      <c r="K75" s="174"/>
      <c r="L75" s="174"/>
      <c r="M75" s="174"/>
      <c r="N75" s="174"/>
      <c r="O75" s="174"/>
      <c r="P75" s="174"/>
      <c r="Q75" s="174"/>
      <c r="R75" s="35"/>
      <c r="S75" s="63"/>
      <c r="T75" s="63"/>
      <c r="U75" s="63"/>
      <c r="V75" s="63"/>
      <c r="W75" s="63"/>
      <c r="X75" s="63"/>
      <c r="Y75" s="63"/>
      <c r="Z75" s="63"/>
      <c r="AA75" s="63"/>
      <c r="AB75" s="63"/>
      <c r="AC75" s="63"/>
      <c r="AD75" s="63"/>
      <c r="AE75" s="63"/>
      <c r="AF75" s="35"/>
      <c r="AG75" s="63"/>
      <c r="AH75" s="63"/>
      <c r="AI75" s="63"/>
      <c r="AJ75" s="63"/>
      <c r="AM75" s="162"/>
      <c r="AN75" s="439"/>
    </row>
    <row r="76" spans="1:16384" s="46" customFormat="1" ht="12.75" customHeight="1">
      <c r="A76" s="152" t="s">
        <v>1638</v>
      </c>
      <c r="B76" s="161"/>
      <c r="C76" s="152"/>
      <c r="D76" s="28"/>
      <c r="E76" s="28"/>
      <c r="F76" s="153"/>
      <c r="G76" s="153"/>
      <c r="H76" s="153"/>
      <c r="I76" s="153"/>
      <c r="J76" s="153"/>
      <c r="K76" s="153"/>
      <c r="L76" s="153"/>
      <c r="M76" s="153"/>
      <c r="N76" s="153"/>
      <c r="O76" s="153"/>
      <c r="P76" s="153"/>
      <c r="Q76" s="153"/>
      <c r="R76" s="153"/>
      <c r="S76" s="153"/>
      <c r="T76" s="153"/>
      <c r="U76" s="153"/>
      <c r="V76" s="153"/>
      <c r="W76" s="153"/>
      <c r="X76" s="153"/>
      <c r="Y76" s="153"/>
      <c r="Z76" s="153"/>
      <c r="AA76" s="153"/>
      <c r="AB76" s="153"/>
      <c r="AE76" s="152"/>
      <c r="AF76" s="152"/>
      <c r="AG76" s="152"/>
      <c r="AH76" s="152"/>
      <c r="AI76" s="152"/>
      <c r="AJ76" s="152"/>
      <c r="AK76" s="152"/>
      <c r="AL76" s="152"/>
      <c r="AM76" s="153"/>
      <c r="AN76" s="439"/>
    </row>
    <row r="77" spans="1:16384" s="46" customFormat="1" ht="12.75" customHeight="1">
      <c r="A77" s="152"/>
      <c r="C77" s="152"/>
      <c r="D77" s="28"/>
      <c r="E77" s="28"/>
      <c r="F77" s="153"/>
      <c r="G77" s="153"/>
      <c r="H77" s="153"/>
      <c r="I77" s="153"/>
      <c r="J77" s="153"/>
      <c r="K77" s="153"/>
      <c r="L77" s="153"/>
      <c r="M77" s="153"/>
      <c r="N77" s="153"/>
      <c r="O77" s="153"/>
      <c r="P77" s="153"/>
      <c r="Q77" s="153"/>
      <c r="R77" s="153"/>
      <c r="S77" s="153"/>
      <c r="T77" s="153"/>
      <c r="U77" s="153"/>
      <c r="V77" s="153"/>
      <c r="W77" s="153"/>
      <c r="X77" s="153"/>
      <c r="Y77" s="153"/>
      <c r="Z77" s="153"/>
      <c r="AA77" s="153"/>
      <c r="AB77" s="153"/>
      <c r="AC77" s="26"/>
      <c r="AD77" s="26"/>
      <c r="AE77" s="26"/>
      <c r="AN77" s="439"/>
    </row>
    <row r="78" spans="1:16384" s="46" customFormat="1" ht="12.75" customHeight="1">
      <c r="A78" s="183"/>
      <c r="B78" s="63" t="s">
        <v>1639</v>
      </c>
      <c r="C78" s="163"/>
      <c r="D78" s="163"/>
      <c r="E78" s="163"/>
      <c r="F78" s="163"/>
      <c r="G78" s="163"/>
      <c r="H78" s="163"/>
      <c r="I78" s="163"/>
      <c r="J78" s="163"/>
      <c r="K78" s="163"/>
      <c r="L78" s="163"/>
      <c r="M78" s="163"/>
      <c r="N78" s="163"/>
      <c r="O78" s="163"/>
      <c r="P78" s="163"/>
      <c r="Q78" s="163"/>
      <c r="R78" s="163"/>
      <c r="S78" s="163"/>
      <c r="T78" s="163"/>
      <c r="U78" s="163"/>
      <c r="V78" s="163"/>
      <c r="W78" s="163"/>
      <c r="X78" s="163"/>
      <c r="Y78" s="163"/>
      <c r="Z78" s="163"/>
      <c r="AA78" s="163"/>
      <c r="AB78" s="163"/>
      <c r="AC78" s="163"/>
      <c r="AD78" s="163"/>
      <c r="AE78" s="2352" t="s">
        <v>1081</v>
      </c>
      <c r="AF78" s="2352"/>
      <c r="AG78" s="2352"/>
      <c r="AH78" s="2352"/>
      <c r="AI78" s="2352"/>
      <c r="AJ78" s="2352"/>
      <c r="AK78" s="2352"/>
      <c r="AL78" s="1301"/>
      <c r="AM78" s="163"/>
      <c r="AN78" s="439"/>
    </row>
    <row r="79" spans="1:16384" s="46" customFormat="1" ht="12.75" customHeight="1">
      <c r="C79" s="163"/>
      <c r="D79" s="163"/>
      <c r="E79" s="163"/>
      <c r="F79" s="163"/>
      <c r="G79" s="163"/>
      <c r="H79" s="163"/>
      <c r="I79" s="163"/>
      <c r="J79" s="163"/>
      <c r="K79" s="163"/>
      <c r="L79" s="163"/>
      <c r="M79" s="163"/>
      <c r="N79" s="163"/>
      <c r="O79" s="163"/>
      <c r="P79" s="163"/>
      <c r="Q79" s="163"/>
      <c r="R79" s="163"/>
      <c r="S79" s="163"/>
      <c r="T79" s="163"/>
      <c r="U79" s="163"/>
      <c r="V79" s="163"/>
      <c r="W79" s="163"/>
      <c r="X79" s="163"/>
      <c r="Y79" s="163"/>
      <c r="Z79" s="163"/>
      <c r="AA79" s="163"/>
      <c r="AB79" s="163"/>
      <c r="AC79" s="163"/>
      <c r="AD79" s="163"/>
      <c r="AE79" s="163"/>
      <c r="AF79" s="163"/>
      <c r="AG79" s="163"/>
      <c r="AH79" s="163"/>
      <c r="AI79" s="163"/>
      <c r="AJ79" s="163"/>
      <c r="AK79" s="163"/>
      <c r="AL79" s="163"/>
      <c r="AM79" s="163"/>
      <c r="AN79" s="439"/>
    </row>
    <row r="80" spans="1:16384" s="46" customFormat="1" ht="12.75" customHeight="1">
      <c r="A80" s="163"/>
      <c r="B80" s="2340" t="s">
        <v>2084</v>
      </c>
      <c r="C80" s="2340"/>
      <c r="D80" s="2340"/>
      <c r="E80" s="2340"/>
      <c r="F80" s="2340"/>
      <c r="G80" s="2340"/>
      <c r="H80" s="2340"/>
      <c r="I80" s="2340"/>
      <c r="J80" s="2340"/>
      <c r="K80" s="2340"/>
      <c r="L80" s="2340"/>
      <c r="M80" s="2340"/>
      <c r="N80" s="2340"/>
      <c r="O80" s="2340"/>
      <c r="P80" s="2340"/>
      <c r="Q80" s="2340"/>
      <c r="R80" s="2340"/>
      <c r="S80" s="2340"/>
      <c r="T80" s="2340"/>
      <c r="U80" s="2340"/>
      <c r="V80" s="2340"/>
      <c r="W80" s="2340"/>
      <c r="X80" s="2340"/>
      <c r="Y80" s="2340"/>
      <c r="Z80" s="2340"/>
      <c r="AA80" s="2340"/>
      <c r="AB80" s="2340"/>
      <c r="AC80" s="2340"/>
      <c r="AD80" s="2340"/>
      <c r="AE80" s="2340"/>
      <c r="AF80" s="2340"/>
      <c r="AG80" s="2340"/>
      <c r="AH80" s="2340"/>
      <c r="AI80" s="2340"/>
      <c r="AJ80" s="2340"/>
      <c r="AK80" s="2340"/>
      <c r="AL80" s="1303"/>
      <c r="AM80" s="163"/>
      <c r="AN80" s="439"/>
    </row>
    <row r="81" spans="1:42" s="46" customFormat="1" ht="12.75" customHeight="1">
      <c r="A81" s="163"/>
      <c r="B81" s="2340"/>
      <c r="C81" s="2340"/>
      <c r="D81" s="2340"/>
      <c r="E81" s="2340"/>
      <c r="F81" s="2340"/>
      <c r="G81" s="2340"/>
      <c r="H81" s="2340"/>
      <c r="I81" s="2340"/>
      <c r="J81" s="2340"/>
      <c r="K81" s="2340"/>
      <c r="L81" s="2340"/>
      <c r="M81" s="2340"/>
      <c r="N81" s="2340"/>
      <c r="O81" s="2340"/>
      <c r="P81" s="2340"/>
      <c r="Q81" s="2340"/>
      <c r="R81" s="2340"/>
      <c r="S81" s="2340"/>
      <c r="T81" s="2340"/>
      <c r="U81" s="2340"/>
      <c r="V81" s="2340"/>
      <c r="W81" s="2340"/>
      <c r="X81" s="2340"/>
      <c r="Y81" s="2340"/>
      <c r="Z81" s="2340"/>
      <c r="AA81" s="2340"/>
      <c r="AB81" s="2340"/>
      <c r="AC81" s="2340"/>
      <c r="AD81" s="2340"/>
      <c r="AE81" s="2340"/>
      <c r="AF81" s="2340"/>
      <c r="AG81" s="2340"/>
      <c r="AH81" s="2340"/>
      <c r="AI81" s="2340"/>
      <c r="AJ81" s="2340"/>
      <c r="AK81" s="2340"/>
      <c r="AL81" s="1303"/>
      <c r="AM81" s="163"/>
      <c r="AN81" s="439"/>
    </row>
    <row r="82" spans="1:42" s="46" customFormat="1" ht="12.75" customHeight="1">
      <c r="A82" s="163"/>
      <c r="B82" s="2340"/>
      <c r="C82" s="2340"/>
      <c r="D82" s="2340"/>
      <c r="E82" s="2340"/>
      <c r="F82" s="2340"/>
      <c r="G82" s="2340"/>
      <c r="H82" s="2340"/>
      <c r="I82" s="2340"/>
      <c r="J82" s="2340"/>
      <c r="K82" s="2340"/>
      <c r="L82" s="2340"/>
      <c r="M82" s="2340"/>
      <c r="N82" s="2340"/>
      <c r="O82" s="2340"/>
      <c r="P82" s="2340"/>
      <c r="Q82" s="2340"/>
      <c r="R82" s="2340"/>
      <c r="S82" s="2340"/>
      <c r="T82" s="2340"/>
      <c r="U82" s="2340"/>
      <c r="V82" s="2340"/>
      <c r="W82" s="2340"/>
      <c r="X82" s="2340"/>
      <c r="Y82" s="2340"/>
      <c r="Z82" s="2340"/>
      <c r="AA82" s="2340"/>
      <c r="AB82" s="2340"/>
      <c r="AC82" s="2340"/>
      <c r="AD82" s="2340"/>
      <c r="AE82" s="2340"/>
      <c r="AF82" s="2340"/>
      <c r="AG82" s="2340"/>
      <c r="AH82" s="2340"/>
      <c r="AI82" s="2340"/>
      <c r="AJ82" s="2340"/>
      <c r="AK82" s="2340"/>
      <c r="AL82" s="1303"/>
      <c r="AM82" s="163"/>
      <c r="AN82" s="439"/>
    </row>
    <row r="83" spans="1:42" s="46" customFormat="1" ht="12.75" customHeight="1">
      <c r="A83" s="163"/>
      <c r="B83" s="2340"/>
      <c r="C83" s="2340"/>
      <c r="D83" s="2340"/>
      <c r="E83" s="2340"/>
      <c r="F83" s="2340"/>
      <c r="G83" s="2340"/>
      <c r="H83" s="2340"/>
      <c r="I83" s="2340"/>
      <c r="J83" s="2340"/>
      <c r="K83" s="2340"/>
      <c r="L83" s="2340"/>
      <c r="M83" s="2340"/>
      <c r="N83" s="2340"/>
      <c r="O83" s="2340"/>
      <c r="P83" s="2340"/>
      <c r="Q83" s="2340"/>
      <c r="R83" s="2340"/>
      <c r="S83" s="2340"/>
      <c r="T83" s="2340"/>
      <c r="U83" s="2340"/>
      <c r="V83" s="2340"/>
      <c r="W83" s="2340"/>
      <c r="X83" s="2340"/>
      <c r="Y83" s="2340"/>
      <c r="Z83" s="2340"/>
      <c r="AA83" s="2340"/>
      <c r="AB83" s="2340"/>
      <c r="AC83" s="2340"/>
      <c r="AD83" s="2340"/>
      <c r="AE83" s="2340"/>
      <c r="AF83" s="2340"/>
      <c r="AG83" s="2340"/>
      <c r="AH83" s="2340"/>
      <c r="AI83" s="2340"/>
      <c r="AJ83" s="2340"/>
      <c r="AK83" s="2340"/>
      <c r="AL83" s="1303"/>
      <c r="AM83" s="163"/>
      <c r="AN83" s="439"/>
    </row>
    <row r="84" spans="1:42" s="46" customFormat="1" ht="12.75" customHeight="1">
      <c r="A84" s="163"/>
      <c r="B84" s="2340"/>
      <c r="C84" s="2340"/>
      <c r="D84" s="2340"/>
      <c r="E84" s="2340"/>
      <c r="F84" s="2340"/>
      <c r="G84" s="2340"/>
      <c r="H84" s="2340"/>
      <c r="I84" s="2340"/>
      <c r="J84" s="2340"/>
      <c r="K84" s="2340"/>
      <c r="L84" s="2340"/>
      <c r="M84" s="2340"/>
      <c r="N84" s="2340"/>
      <c r="O84" s="2340"/>
      <c r="P84" s="2340"/>
      <c r="Q84" s="2340"/>
      <c r="R84" s="2340"/>
      <c r="S84" s="2340"/>
      <c r="T84" s="2340"/>
      <c r="U84" s="2340"/>
      <c r="V84" s="2340"/>
      <c r="W84" s="2340"/>
      <c r="X84" s="2340"/>
      <c r="Y84" s="2340"/>
      <c r="Z84" s="2340"/>
      <c r="AA84" s="2340"/>
      <c r="AB84" s="2340"/>
      <c r="AC84" s="2340"/>
      <c r="AD84" s="2340"/>
      <c r="AE84" s="2340"/>
      <c r="AF84" s="2340"/>
      <c r="AG84" s="2340"/>
      <c r="AH84" s="2340"/>
      <c r="AI84" s="2340"/>
      <c r="AJ84" s="2340"/>
      <c r="AK84" s="2340"/>
      <c r="AL84" s="1303"/>
      <c r="AM84" s="163"/>
      <c r="AN84" s="439"/>
    </row>
    <row r="85" spans="1:42" s="46" customFormat="1" ht="12.75" customHeight="1">
      <c r="A85" s="163"/>
      <c r="B85" s="2340"/>
      <c r="C85" s="2340"/>
      <c r="D85" s="2340"/>
      <c r="E85" s="2340"/>
      <c r="F85" s="2340"/>
      <c r="G85" s="2340"/>
      <c r="H85" s="2340"/>
      <c r="I85" s="2340"/>
      <c r="J85" s="2340"/>
      <c r="K85" s="2340"/>
      <c r="L85" s="2340"/>
      <c r="M85" s="2340"/>
      <c r="N85" s="2340"/>
      <c r="O85" s="2340"/>
      <c r="P85" s="2340"/>
      <c r="Q85" s="2340"/>
      <c r="R85" s="2340"/>
      <c r="S85" s="2340"/>
      <c r="T85" s="2340"/>
      <c r="U85" s="2340"/>
      <c r="V85" s="2340"/>
      <c r="W85" s="2340"/>
      <c r="X85" s="2340"/>
      <c r="Y85" s="2340"/>
      <c r="Z85" s="2340"/>
      <c r="AA85" s="2340"/>
      <c r="AB85" s="2340"/>
      <c r="AC85" s="2340"/>
      <c r="AD85" s="2340"/>
      <c r="AE85" s="2340"/>
      <c r="AF85" s="2340"/>
      <c r="AG85" s="2340"/>
      <c r="AH85" s="2340"/>
      <c r="AI85" s="2340"/>
      <c r="AJ85" s="2340"/>
      <c r="AK85" s="2340"/>
      <c r="AL85" s="1303"/>
      <c r="AM85" s="163"/>
      <c r="AN85" s="439"/>
    </row>
    <row r="86" spans="1:42" ht="12.75" customHeight="1">
      <c r="A86" s="163"/>
      <c r="B86" s="2340"/>
      <c r="C86" s="2340"/>
      <c r="D86" s="2340"/>
      <c r="E86" s="2340"/>
      <c r="F86" s="2340"/>
      <c r="G86" s="2340"/>
      <c r="H86" s="2340"/>
      <c r="I86" s="2340"/>
      <c r="J86" s="2340"/>
      <c r="K86" s="2340"/>
      <c r="L86" s="2340"/>
      <c r="M86" s="2340"/>
      <c r="N86" s="2340"/>
      <c r="O86" s="2340"/>
      <c r="P86" s="2340"/>
      <c r="Q86" s="2340"/>
      <c r="R86" s="2340"/>
      <c r="S86" s="2340"/>
      <c r="T86" s="2340"/>
      <c r="U86" s="2340"/>
      <c r="V86" s="2340"/>
      <c r="W86" s="2340"/>
      <c r="X86" s="2340"/>
      <c r="Y86" s="2340"/>
      <c r="Z86" s="2340"/>
      <c r="AA86" s="2340"/>
      <c r="AB86" s="2340"/>
      <c r="AC86" s="2340"/>
      <c r="AD86" s="2340"/>
      <c r="AE86" s="2340"/>
      <c r="AF86" s="2340"/>
      <c r="AG86" s="2340"/>
      <c r="AH86" s="2340"/>
      <c r="AI86" s="2340"/>
      <c r="AJ86" s="2340"/>
      <c r="AK86" s="2340"/>
      <c r="AL86" s="1303"/>
      <c r="AM86" s="163"/>
    </row>
    <row r="87" spans="1:42" s="46" customFormat="1" ht="12.75" customHeight="1">
      <c r="A87" s="28"/>
      <c r="B87" s="2340"/>
      <c r="C87" s="2340"/>
      <c r="D87" s="2340"/>
      <c r="E87" s="2340"/>
      <c r="F87" s="2340"/>
      <c r="G87" s="2340"/>
      <c r="H87" s="2340"/>
      <c r="I87" s="2340"/>
      <c r="J87" s="2340"/>
      <c r="K87" s="2340"/>
      <c r="L87" s="2340"/>
      <c r="M87" s="2340"/>
      <c r="N87" s="2340"/>
      <c r="O87" s="2340"/>
      <c r="P87" s="2340"/>
      <c r="Q87" s="2340"/>
      <c r="R87" s="2340"/>
      <c r="S87" s="2340"/>
      <c r="T87" s="2340"/>
      <c r="U87" s="2340"/>
      <c r="V87" s="2340"/>
      <c r="W87" s="2340"/>
      <c r="X87" s="2340"/>
      <c r="Y87" s="2340"/>
      <c r="Z87" s="2340"/>
      <c r="AA87" s="2340"/>
      <c r="AB87" s="2340"/>
      <c r="AC87" s="2340"/>
      <c r="AD87" s="2340"/>
      <c r="AE87" s="2340"/>
      <c r="AF87" s="2340"/>
      <c r="AG87" s="2340"/>
      <c r="AH87" s="2340"/>
      <c r="AI87" s="2340"/>
      <c r="AJ87" s="2340"/>
      <c r="AK87" s="2340"/>
      <c r="AL87" s="1303"/>
      <c r="AM87" s="153"/>
      <c r="AN87" s="439"/>
    </row>
    <row r="88" spans="1:42" s="46" customFormat="1" ht="12.75" customHeight="1">
      <c r="A88" s="28"/>
      <c r="B88" s="2340"/>
      <c r="C88" s="2340"/>
      <c r="D88" s="2340"/>
      <c r="E88" s="2340"/>
      <c r="F88" s="2340"/>
      <c r="G88" s="2340"/>
      <c r="H88" s="2340"/>
      <c r="I88" s="2340"/>
      <c r="J88" s="2340"/>
      <c r="K88" s="2340"/>
      <c r="L88" s="2340"/>
      <c r="M88" s="2340"/>
      <c r="N88" s="2340"/>
      <c r="O88" s="2340"/>
      <c r="P88" s="2340"/>
      <c r="Q88" s="2340"/>
      <c r="R88" s="2340"/>
      <c r="S88" s="2340"/>
      <c r="T88" s="2340"/>
      <c r="U88" s="2340"/>
      <c r="V88" s="2340"/>
      <c r="W88" s="2340"/>
      <c r="X88" s="2340"/>
      <c r="Y88" s="2340"/>
      <c r="Z88" s="2340"/>
      <c r="AA88" s="2340"/>
      <c r="AB88" s="2340"/>
      <c r="AC88" s="2340"/>
      <c r="AD88" s="2340"/>
      <c r="AE88" s="2340"/>
      <c r="AF88" s="2340"/>
      <c r="AG88" s="2340"/>
      <c r="AH88" s="2340"/>
      <c r="AI88" s="2340"/>
      <c r="AJ88" s="2340"/>
      <c r="AK88" s="2340"/>
      <c r="AL88" s="1303"/>
      <c r="AM88" s="153"/>
      <c r="AN88" s="439"/>
    </row>
    <row r="89" spans="1:42" s="46" customFormat="1" ht="14.4" customHeight="1">
      <c r="A89" s="28"/>
      <c r="B89" s="2340"/>
      <c r="C89" s="2340"/>
      <c r="D89" s="2340"/>
      <c r="E89" s="2340"/>
      <c r="F89" s="2340"/>
      <c r="G89" s="2340"/>
      <c r="H89" s="2340"/>
      <c r="I89" s="2340"/>
      <c r="J89" s="2340"/>
      <c r="K89" s="2340"/>
      <c r="L89" s="2340"/>
      <c r="M89" s="2340"/>
      <c r="N89" s="2340"/>
      <c r="O89" s="2340"/>
      <c r="P89" s="2340"/>
      <c r="Q89" s="2340"/>
      <c r="R89" s="2340"/>
      <c r="S89" s="2340"/>
      <c r="T89" s="2340"/>
      <c r="U89" s="2340"/>
      <c r="V89" s="2340"/>
      <c r="W89" s="2340"/>
      <c r="X89" s="2340"/>
      <c r="Y89" s="2340"/>
      <c r="Z89" s="2340"/>
      <c r="AA89" s="2340"/>
      <c r="AB89" s="2340"/>
      <c r="AC89" s="2340"/>
      <c r="AD89" s="2340"/>
      <c r="AE89" s="2340"/>
      <c r="AF89" s="2340"/>
      <c r="AG89" s="2340"/>
      <c r="AH89" s="2340"/>
      <c r="AI89" s="2340"/>
      <c r="AJ89" s="2340"/>
      <c r="AK89" s="2340"/>
      <c r="AL89" s="1303"/>
      <c r="AM89" s="153"/>
      <c r="AN89" s="439"/>
    </row>
    <row r="90" spans="1:42" s="46" customFormat="1" ht="12.75" customHeight="1">
      <c r="A90" s="28"/>
      <c r="B90" s="2340"/>
      <c r="C90" s="2340"/>
      <c r="D90" s="2340"/>
      <c r="E90" s="2340"/>
      <c r="F90" s="2340"/>
      <c r="G90" s="2340"/>
      <c r="H90" s="2340"/>
      <c r="I90" s="2340"/>
      <c r="J90" s="2340"/>
      <c r="K90" s="2340"/>
      <c r="L90" s="2340"/>
      <c r="M90" s="2340"/>
      <c r="N90" s="2340"/>
      <c r="O90" s="2340"/>
      <c r="P90" s="2340"/>
      <c r="Q90" s="2340"/>
      <c r="R90" s="2340"/>
      <c r="S90" s="2340"/>
      <c r="T90" s="2340"/>
      <c r="U90" s="2340"/>
      <c r="V90" s="2340"/>
      <c r="W90" s="2340"/>
      <c r="X90" s="2340"/>
      <c r="Y90" s="2340"/>
      <c r="Z90" s="2340"/>
      <c r="AA90" s="2340"/>
      <c r="AB90" s="2340"/>
      <c r="AC90" s="2340"/>
      <c r="AD90" s="2340"/>
      <c r="AE90" s="2340"/>
      <c r="AF90" s="2340"/>
      <c r="AG90" s="2340"/>
      <c r="AH90" s="2340"/>
      <c r="AI90" s="2340"/>
      <c r="AJ90" s="2340"/>
      <c r="AK90" s="2340"/>
      <c r="AL90" s="153"/>
      <c r="AM90" s="153"/>
      <c r="AN90" s="439"/>
    </row>
    <row r="91" spans="1:42" s="46" customFormat="1" ht="12.75" customHeight="1">
      <c r="A91" s="28"/>
      <c r="B91" s="144" t="s">
        <v>1403</v>
      </c>
      <c r="C91" s="184"/>
      <c r="D91" s="174"/>
      <c r="E91" s="174"/>
      <c r="F91" s="174"/>
      <c r="G91" s="174"/>
      <c r="H91" s="174"/>
      <c r="I91" s="174"/>
      <c r="J91" s="174"/>
      <c r="K91" s="174"/>
      <c r="L91" s="174"/>
      <c r="M91" s="174"/>
      <c r="N91" s="174"/>
      <c r="O91" s="174"/>
      <c r="P91" s="174"/>
      <c r="Q91" s="174"/>
      <c r="R91" s="174"/>
      <c r="S91" s="174"/>
      <c r="T91" s="174"/>
      <c r="U91" s="174"/>
      <c r="V91" s="174"/>
      <c r="W91" s="174"/>
      <c r="X91" s="174"/>
      <c r="Y91" s="174"/>
      <c r="Z91" s="174"/>
      <c r="AA91" s="174"/>
      <c r="AB91" s="174"/>
      <c r="AC91" s="174"/>
      <c r="AD91" s="174"/>
      <c r="AE91" s="174"/>
      <c r="AF91" s="174"/>
      <c r="AG91" s="174"/>
      <c r="AH91" s="174"/>
      <c r="AI91" s="174"/>
      <c r="AK91" s="153"/>
      <c r="AL91" s="153"/>
      <c r="AM91" s="153"/>
      <c r="AN91" s="439"/>
      <c r="AP91" s="46" t="s">
        <v>136</v>
      </c>
    </row>
    <row r="92" spans="1:42" s="46" customFormat="1" ht="12.75" customHeight="1">
      <c r="A92" s="28"/>
      <c r="B92" s="136"/>
      <c r="C92" s="184"/>
      <c r="D92" s="174"/>
      <c r="E92" s="174"/>
      <c r="F92" s="174"/>
      <c r="G92" s="174"/>
      <c r="H92" s="174"/>
      <c r="I92" s="174"/>
      <c r="J92" s="174"/>
      <c r="K92" s="174"/>
      <c r="L92" s="174"/>
      <c r="M92" s="174"/>
      <c r="N92" s="174"/>
      <c r="O92" s="174"/>
      <c r="P92" s="174"/>
      <c r="Q92" s="174"/>
      <c r="R92" s="174"/>
      <c r="S92" s="174"/>
      <c r="T92" s="174"/>
      <c r="U92" s="174"/>
      <c r="V92" s="174"/>
      <c r="W92" s="174"/>
      <c r="X92" s="174"/>
      <c r="Y92" s="174"/>
      <c r="Z92" s="174"/>
      <c r="AA92" s="174"/>
      <c r="AB92" s="174"/>
      <c r="AC92" s="174"/>
      <c r="AD92" s="174"/>
      <c r="AE92" s="174"/>
      <c r="AF92" s="174"/>
      <c r="AG92" s="174"/>
      <c r="AH92" s="174"/>
      <c r="AI92" s="174"/>
      <c r="AK92" s="153"/>
      <c r="AL92" s="153"/>
      <c r="AM92" s="153"/>
      <c r="AN92" s="439"/>
      <c r="AP92" s="46" t="s">
        <v>119</v>
      </c>
    </row>
    <row r="93" spans="1:42" s="46" customFormat="1" ht="12.75" customHeight="1">
      <c r="A93" s="28"/>
      <c r="B93" s="28"/>
      <c r="C93" s="48" t="s">
        <v>1417</v>
      </c>
      <c r="D93" s="185"/>
      <c r="E93" s="174"/>
      <c r="F93" s="174"/>
      <c r="G93" s="174"/>
      <c r="H93" s="174"/>
      <c r="I93" s="174"/>
      <c r="J93" s="174"/>
      <c r="K93" s="174"/>
      <c r="L93" s="174"/>
      <c r="M93" s="174"/>
      <c r="N93" s="174"/>
      <c r="O93" s="174"/>
      <c r="P93" s="174"/>
      <c r="Q93" s="174"/>
      <c r="R93" s="174"/>
      <c r="S93" s="174"/>
      <c r="T93" s="174"/>
      <c r="U93" s="174"/>
      <c r="V93" s="174"/>
      <c r="W93" s="174"/>
      <c r="X93" s="174"/>
      <c r="Y93" s="174"/>
      <c r="Z93" s="174"/>
      <c r="AA93" s="174"/>
      <c r="AB93" s="174"/>
      <c r="AC93" s="174"/>
      <c r="AD93" s="174"/>
      <c r="AE93" s="174"/>
      <c r="AF93" s="174"/>
      <c r="AG93" s="174"/>
      <c r="AH93" s="174"/>
      <c r="AI93" s="174"/>
      <c r="AK93" s="153"/>
      <c r="AL93" s="153"/>
      <c r="AM93" s="153"/>
      <c r="AN93" s="439"/>
    </row>
    <row r="94" spans="1:42" s="46" customFormat="1" ht="12.75" customHeight="1">
      <c r="A94" s="28"/>
      <c r="B94" s="28"/>
      <c r="C94" s="74"/>
      <c r="D94" s="185"/>
      <c r="E94" s="174"/>
      <c r="F94" s="174"/>
      <c r="G94" s="174"/>
      <c r="H94" s="174"/>
      <c r="I94" s="174"/>
      <c r="J94" s="174"/>
      <c r="K94" s="174"/>
      <c r="L94" s="174"/>
      <c r="M94" s="174"/>
      <c r="N94" s="174"/>
      <c r="O94" s="174"/>
      <c r="P94" s="174"/>
      <c r="Q94" s="174"/>
      <c r="R94" s="174"/>
      <c r="S94" s="174"/>
      <c r="T94" s="174"/>
      <c r="U94" s="174"/>
      <c r="V94" s="174"/>
      <c r="W94" s="174"/>
      <c r="X94" s="174"/>
      <c r="Y94" s="174"/>
      <c r="Z94" s="174"/>
      <c r="AA94" s="174"/>
      <c r="AB94" s="174"/>
      <c r="AC94" s="174"/>
      <c r="AD94" s="174"/>
      <c r="AE94" s="174"/>
      <c r="AM94" s="153"/>
      <c r="AN94" s="439"/>
    </row>
    <row r="95" spans="1:42" s="46" customFormat="1" ht="12.75" customHeight="1">
      <c r="A95" s="28"/>
      <c r="D95" s="144" t="s">
        <v>641</v>
      </c>
      <c r="E95" s="678" t="s">
        <v>1461</v>
      </c>
      <c r="F95" s="163"/>
      <c r="G95" s="163"/>
      <c r="H95" s="163"/>
      <c r="I95" s="163"/>
      <c r="J95" s="163"/>
      <c r="K95" s="163"/>
      <c r="L95" s="163"/>
      <c r="M95" s="163"/>
      <c r="N95" s="163"/>
      <c r="O95" s="163"/>
      <c r="P95" s="163"/>
      <c r="Q95" s="163"/>
      <c r="R95" s="163"/>
      <c r="S95" s="163"/>
      <c r="T95" s="163"/>
      <c r="U95" s="163"/>
      <c r="V95" s="163"/>
      <c r="W95" s="163"/>
      <c r="X95" s="163"/>
      <c r="Y95" s="163"/>
      <c r="Z95" s="163"/>
      <c r="AA95" s="163"/>
      <c r="AB95" s="163"/>
      <c r="AF95" s="2378" t="s">
        <v>937</v>
      </c>
      <c r="AG95" s="2378"/>
      <c r="AH95" s="2378"/>
      <c r="AI95" s="2378"/>
      <c r="AJ95" s="2378"/>
      <c r="AK95" s="2378"/>
      <c r="AL95" s="2378"/>
      <c r="AM95" s="153"/>
      <c r="AN95" s="439"/>
    </row>
    <row r="96" spans="1:42" s="46" customFormat="1" ht="12.75" customHeight="1">
      <c r="A96" s="153"/>
      <c r="B96" s="153"/>
      <c r="C96" s="27"/>
      <c r="D96" s="144"/>
      <c r="E96" s="678" t="s">
        <v>1462</v>
      </c>
      <c r="F96" s="163"/>
      <c r="G96" s="163"/>
      <c r="H96" s="163"/>
      <c r="I96" s="163"/>
      <c r="J96" s="163"/>
      <c r="K96" s="163"/>
      <c r="L96" s="163"/>
      <c r="M96" s="163"/>
      <c r="N96" s="163"/>
      <c r="O96" s="163"/>
      <c r="P96" s="163"/>
      <c r="Q96" s="163"/>
      <c r="R96" s="163"/>
      <c r="S96" s="163"/>
      <c r="T96" s="163"/>
      <c r="U96" s="163"/>
      <c r="V96" s="163"/>
      <c r="W96" s="163"/>
      <c r="X96" s="163"/>
      <c r="Y96" s="163"/>
      <c r="Z96" s="163"/>
      <c r="AA96" s="163"/>
      <c r="AB96" s="163"/>
      <c r="AE96" s="27"/>
      <c r="AF96" s="27"/>
      <c r="AG96" s="27"/>
      <c r="AH96" s="27"/>
      <c r="AI96" s="27"/>
      <c r="AJ96" s="27"/>
      <c r="AK96" s="27"/>
      <c r="AL96" s="27"/>
      <c r="AM96" s="153"/>
      <c r="AN96" s="439"/>
    </row>
    <row r="97" spans="1:53" s="46" customFormat="1" ht="12.75" customHeight="1">
      <c r="A97" s="153"/>
      <c r="B97" s="153"/>
      <c r="C97" s="27"/>
      <c r="D97" s="144"/>
      <c r="E97" s="678" t="s">
        <v>1463</v>
      </c>
      <c r="F97" s="163"/>
      <c r="G97" s="163"/>
      <c r="H97" s="163"/>
      <c r="I97" s="163"/>
      <c r="J97" s="163"/>
      <c r="K97" s="163"/>
      <c r="L97" s="163"/>
      <c r="M97" s="163"/>
      <c r="N97" s="163"/>
      <c r="O97" s="163"/>
      <c r="P97" s="163"/>
      <c r="Q97" s="163"/>
      <c r="R97" s="163"/>
      <c r="S97" s="163"/>
      <c r="T97" s="163"/>
      <c r="U97" s="163"/>
      <c r="V97" s="163"/>
      <c r="W97" s="163"/>
      <c r="X97" s="163"/>
      <c r="Y97" s="163"/>
      <c r="Z97" s="163"/>
      <c r="AA97" s="163"/>
      <c r="AB97" s="163"/>
      <c r="AE97" s="27"/>
      <c r="AF97" s="27"/>
      <c r="AG97" s="27"/>
      <c r="AH97" s="27"/>
      <c r="AI97" s="27"/>
      <c r="AJ97" s="27"/>
      <c r="AK97" s="27"/>
      <c r="AL97" s="27"/>
      <c r="AM97" s="153"/>
      <c r="AN97" s="439"/>
    </row>
    <row r="98" spans="1:53" s="46" customFormat="1" ht="12.75" customHeight="1">
      <c r="A98" s="153"/>
      <c r="B98" s="153"/>
      <c r="C98" s="27"/>
      <c r="D98" s="144"/>
      <c r="E98" s="678" t="s">
        <v>1464</v>
      </c>
      <c r="F98" s="163"/>
      <c r="G98" s="163"/>
      <c r="H98" s="163"/>
      <c r="I98" s="163"/>
      <c r="J98" s="163"/>
      <c r="K98" s="163"/>
      <c r="L98" s="163"/>
      <c r="M98" s="163"/>
      <c r="N98" s="163"/>
      <c r="O98" s="163"/>
      <c r="P98" s="163"/>
      <c r="Q98" s="163"/>
      <c r="R98" s="163"/>
      <c r="S98" s="163"/>
      <c r="T98" s="163"/>
      <c r="U98" s="163"/>
      <c r="V98" s="163"/>
      <c r="W98" s="163"/>
      <c r="X98" s="163"/>
      <c r="Y98" s="163"/>
      <c r="Z98" s="163"/>
      <c r="AA98" s="163"/>
      <c r="AB98" s="163"/>
      <c r="AE98" s="27"/>
      <c r="AF98" s="27"/>
      <c r="AG98" s="27"/>
      <c r="AH98" s="27"/>
      <c r="AI98" s="27"/>
      <c r="AJ98" s="27"/>
      <c r="AK98" s="27"/>
      <c r="AL98" s="27"/>
      <c r="AM98" s="153"/>
      <c r="AN98" s="439"/>
    </row>
    <row r="99" spans="1:53" s="137" customFormat="1" ht="12.75" customHeight="1">
      <c r="A99" s="153"/>
      <c r="B99" s="153"/>
      <c r="C99" s="27"/>
      <c r="D99" s="144"/>
      <c r="E99" s="678"/>
      <c r="F99" s="163"/>
      <c r="G99" s="163"/>
      <c r="H99" s="163"/>
      <c r="I99" s="163"/>
      <c r="J99" s="163"/>
      <c r="K99" s="163"/>
      <c r="L99" s="163"/>
      <c r="M99" s="163"/>
      <c r="N99" s="163"/>
      <c r="O99" s="163"/>
      <c r="P99" s="163"/>
      <c r="Q99" s="163"/>
      <c r="R99" s="163"/>
      <c r="S99" s="163"/>
      <c r="T99" s="163"/>
      <c r="U99" s="163"/>
      <c r="V99" s="163"/>
      <c r="W99" s="163"/>
      <c r="X99" s="163"/>
      <c r="Y99" s="163"/>
      <c r="Z99" s="163"/>
      <c r="AA99" s="163"/>
      <c r="AB99" s="163"/>
      <c r="AC99" s="46"/>
      <c r="AD99" s="46"/>
      <c r="AE99" s="27"/>
      <c r="AM99" s="153"/>
      <c r="AN99" s="1140"/>
    </row>
    <row r="100" spans="1:53" s="46" customFormat="1" ht="12.75" customHeight="1">
      <c r="A100" s="57"/>
      <c r="B100" s="74"/>
      <c r="C100" s="77"/>
      <c r="D100" s="144" t="s">
        <v>214</v>
      </c>
      <c r="E100" s="678" t="s">
        <v>1384</v>
      </c>
      <c r="F100" s="186"/>
      <c r="G100" s="186"/>
      <c r="H100" s="186"/>
      <c r="I100" s="186"/>
      <c r="J100" s="186"/>
      <c r="K100" s="186"/>
      <c r="L100" s="186"/>
      <c r="M100" s="186"/>
      <c r="N100" s="186"/>
      <c r="O100" s="186"/>
      <c r="P100" s="186"/>
      <c r="Q100" s="186"/>
      <c r="R100" s="186"/>
      <c r="S100" s="186"/>
      <c r="T100" s="186"/>
      <c r="U100" s="186"/>
      <c r="V100" s="186"/>
      <c r="W100" s="186"/>
      <c r="X100" s="186"/>
      <c r="Y100" s="186"/>
      <c r="Z100" s="186"/>
      <c r="AA100" s="186"/>
      <c r="AB100" s="186"/>
      <c r="AF100" s="2378" t="s">
        <v>63</v>
      </c>
      <c r="AG100" s="2378"/>
      <c r="AH100" s="2378"/>
      <c r="AI100" s="2378"/>
      <c r="AJ100" s="2378"/>
      <c r="AK100" s="2378"/>
      <c r="AL100" s="2378"/>
      <c r="AM100" s="153"/>
      <c r="AN100" s="439"/>
    </row>
    <row r="101" spans="1:53" s="46" customFormat="1" ht="12.75" customHeight="1">
      <c r="A101" s="28"/>
      <c r="B101" s="161"/>
      <c r="C101" s="187"/>
      <c r="D101" s="144"/>
      <c r="E101" s="678" t="s">
        <v>1465</v>
      </c>
      <c r="F101" s="186"/>
      <c r="G101" s="186"/>
      <c r="H101" s="186"/>
      <c r="I101" s="186"/>
      <c r="J101" s="186"/>
      <c r="K101" s="186"/>
      <c r="L101" s="186"/>
      <c r="M101" s="186"/>
      <c r="N101" s="186"/>
      <c r="O101" s="186"/>
      <c r="P101" s="186"/>
      <c r="Q101" s="186"/>
      <c r="R101" s="186"/>
      <c r="S101" s="186"/>
      <c r="T101" s="186"/>
      <c r="U101" s="186"/>
      <c r="V101" s="186"/>
      <c r="W101" s="186"/>
      <c r="X101" s="186"/>
      <c r="Y101" s="186"/>
      <c r="Z101" s="186"/>
      <c r="AA101" s="186"/>
      <c r="AB101" s="186"/>
      <c r="AE101" s="153"/>
      <c r="AF101" s="74"/>
      <c r="AG101" s="153"/>
      <c r="AH101" s="153"/>
      <c r="AI101" s="153"/>
      <c r="AJ101" s="153"/>
      <c r="AK101" s="153"/>
      <c r="AL101" s="153"/>
      <c r="AM101" s="153"/>
      <c r="AN101" s="439"/>
      <c r="AO101" s="46" t="s">
        <v>136</v>
      </c>
      <c r="AP101" s="753">
        <v>0</v>
      </c>
    </row>
    <row r="102" spans="1:53" s="46" customFormat="1" ht="12.75" customHeight="1">
      <c r="A102" s="28"/>
      <c r="B102" s="148"/>
      <c r="C102" s="188"/>
      <c r="D102" s="144"/>
      <c r="E102" s="678" t="s">
        <v>1466</v>
      </c>
      <c r="F102" s="186"/>
      <c r="G102" s="186"/>
      <c r="H102" s="186"/>
      <c r="I102" s="186"/>
      <c r="J102" s="186"/>
      <c r="K102" s="186"/>
      <c r="L102" s="186"/>
      <c r="M102" s="186"/>
      <c r="N102" s="186"/>
      <c r="O102" s="186"/>
      <c r="P102" s="186"/>
      <c r="Q102" s="186"/>
      <c r="R102" s="186"/>
      <c r="S102" s="186"/>
      <c r="T102" s="186"/>
      <c r="U102" s="186"/>
      <c r="V102" s="186"/>
      <c r="W102" s="186"/>
      <c r="X102" s="186"/>
      <c r="Y102" s="186"/>
      <c r="Z102" s="186"/>
      <c r="AA102" s="186"/>
      <c r="AB102" s="186"/>
      <c r="AE102" s="28"/>
      <c r="AF102" s="161"/>
      <c r="AG102" s="28"/>
      <c r="AH102" s="28"/>
      <c r="AI102" s="28"/>
      <c r="AJ102" s="28"/>
      <c r="AK102" s="28"/>
      <c r="AL102" s="28"/>
      <c r="AM102" s="153"/>
      <c r="AN102" s="439"/>
      <c r="AO102" s="144" t="s">
        <v>641</v>
      </c>
      <c r="AP102" s="46">
        <v>7</v>
      </c>
    </row>
    <row r="103" spans="1:53" s="46" customFormat="1" ht="12.75" customHeight="1">
      <c r="A103" s="28"/>
      <c r="B103" s="148"/>
      <c r="C103" s="188"/>
      <c r="D103" s="144"/>
      <c r="E103" s="678" t="s">
        <v>1467</v>
      </c>
      <c r="F103" s="186"/>
      <c r="G103" s="186"/>
      <c r="H103" s="186"/>
      <c r="I103" s="186"/>
      <c r="J103" s="186"/>
      <c r="K103" s="186"/>
      <c r="L103" s="186"/>
      <c r="M103" s="186"/>
      <c r="N103" s="186"/>
      <c r="O103" s="186"/>
      <c r="P103" s="186"/>
      <c r="Q103" s="186"/>
      <c r="R103" s="186"/>
      <c r="S103" s="186"/>
      <c r="T103" s="186"/>
      <c r="U103" s="186"/>
      <c r="V103" s="186"/>
      <c r="W103" s="186"/>
      <c r="X103" s="186"/>
      <c r="Y103" s="186"/>
      <c r="Z103" s="186"/>
      <c r="AA103" s="186"/>
      <c r="AB103" s="186"/>
      <c r="AE103" s="28"/>
      <c r="AF103" s="161"/>
      <c r="AG103" s="28"/>
      <c r="AH103" s="28"/>
      <c r="AI103" s="28"/>
      <c r="AJ103" s="28"/>
      <c r="AK103" s="28"/>
      <c r="AL103" s="28"/>
      <c r="AM103" s="153"/>
      <c r="AN103" s="439"/>
      <c r="AO103" s="144" t="s">
        <v>214</v>
      </c>
      <c r="AP103" s="46">
        <v>6</v>
      </c>
    </row>
    <row r="104" spans="1:53" s="46" customFormat="1" ht="12.75" customHeight="1">
      <c r="A104" s="28"/>
      <c r="B104" s="148"/>
      <c r="C104" s="188"/>
      <c r="D104" s="144"/>
      <c r="E104" s="676"/>
      <c r="F104" s="21"/>
      <c r="G104" s="21"/>
      <c r="H104" s="21"/>
      <c r="I104" s="27"/>
      <c r="J104" s="27"/>
      <c r="K104" s="27"/>
      <c r="L104" s="27"/>
      <c r="M104" s="27"/>
      <c r="N104" s="27"/>
      <c r="O104" s="27"/>
      <c r="P104" s="27"/>
      <c r="Q104" s="27"/>
      <c r="R104" s="27"/>
      <c r="S104" s="27"/>
      <c r="T104" s="27"/>
      <c r="U104" s="27"/>
      <c r="V104" s="27"/>
      <c r="W104" s="27"/>
      <c r="X104" s="27"/>
      <c r="Y104" s="27"/>
      <c r="Z104" s="27"/>
      <c r="AA104" s="27"/>
      <c r="AB104" s="27"/>
      <c r="AE104" s="27"/>
      <c r="AM104" s="153"/>
      <c r="AN104" s="439"/>
      <c r="AO104" s="144" t="s">
        <v>992</v>
      </c>
      <c r="AP104" s="46">
        <v>5</v>
      </c>
    </row>
    <row r="105" spans="1:53" s="46" customFormat="1" ht="12.75" customHeight="1">
      <c r="A105" s="28"/>
      <c r="B105" s="74"/>
      <c r="C105" s="77"/>
      <c r="D105" s="144" t="s">
        <v>992</v>
      </c>
      <c r="E105" s="678" t="s">
        <v>1385</v>
      </c>
      <c r="F105" s="186"/>
      <c r="G105" s="186"/>
      <c r="H105" s="186"/>
      <c r="I105" s="186"/>
      <c r="J105" s="186"/>
      <c r="K105" s="186"/>
      <c r="L105" s="186"/>
      <c r="M105" s="186"/>
      <c r="N105" s="186"/>
      <c r="O105" s="186"/>
      <c r="P105" s="186"/>
      <c r="Q105" s="186"/>
      <c r="R105" s="186"/>
      <c r="S105" s="186"/>
      <c r="T105" s="186"/>
      <c r="U105" s="186"/>
      <c r="V105" s="186"/>
      <c r="W105" s="186"/>
      <c r="X105" s="186"/>
      <c r="Y105" s="186"/>
      <c r="Z105" s="186"/>
      <c r="AA105" s="186"/>
      <c r="AB105" s="186"/>
      <c r="AF105" s="2378" t="s">
        <v>64</v>
      </c>
      <c r="AG105" s="2378"/>
      <c r="AH105" s="2378"/>
      <c r="AI105" s="2378"/>
      <c r="AJ105" s="2378"/>
      <c r="AK105" s="2378"/>
      <c r="AL105" s="2378"/>
      <c r="AM105" s="153"/>
      <c r="AN105" s="439"/>
      <c r="AO105" s="144" t="s">
        <v>798</v>
      </c>
      <c r="AP105" s="46">
        <v>4</v>
      </c>
    </row>
    <row r="106" spans="1:53" s="46" customFormat="1" ht="12.75" customHeight="1">
      <c r="A106" s="28"/>
      <c r="B106" s="161"/>
      <c r="C106" s="187"/>
      <c r="D106" s="144"/>
      <c r="E106" s="678" t="s">
        <v>1468</v>
      </c>
      <c r="F106" s="186"/>
      <c r="G106" s="186"/>
      <c r="H106" s="186"/>
      <c r="I106" s="186"/>
      <c r="J106" s="186"/>
      <c r="K106" s="186"/>
      <c r="L106" s="186"/>
      <c r="M106" s="186"/>
      <c r="N106" s="186"/>
      <c r="O106" s="186"/>
      <c r="P106" s="186"/>
      <c r="Q106" s="186"/>
      <c r="R106" s="186"/>
      <c r="S106" s="186"/>
      <c r="T106" s="186"/>
      <c r="U106" s="186"/>
      <c r="V106" s="186"/>
      <c r="W106" s="186"/>
      <c r="X106" s="186"/>
      <c r="Y106" s="186"/>
      <c r="Z106" s="186"/>
      <c r="AA106" s="186"/>
      <c r="AB106" s="186"/>
      <c r="AE106" s="28"/>
      <c r="AF106" s="161"/>
      <c r="AG106" s="28"/>
      <c r="AH106" s="28"/>
      <c r="AI106" s="28"/>
      <c r="AJ106" s="28"/>
      <c r="AK106" s="28"/>
      <c r="AL106" s="28"/>
      <c r="AM106" s="153"/>
      <c r="AN106" s="439"/>
      <c r="AO106" s="144" t="s">
        <v>799</v>
      </c>
      <c r="AP106" s="46">
        <v>3</v>
      </c>
    </row>
    <row r="107" spans="1:53" s="46" customFormat="1" ht="12.75" customHeight="1">
      <c r="A107" s="28"/>
      <c r="B107" s="161"/>
      <c r="C107" s="187"/>
      <c r="D107" s="144"/>
      <c r="E107" s="678" t="s">
        <v>1466</v>
      </c>
      <c r="F107" s="186"/>
      <c r="G107" s="186"/>
      <c r="H107" s="186"/>
      <c r="I107" s="186"/>
      <c r="J107" s="186"/>
      <c r="K107" s="186"/>
      <c r="L107" s="186"/>
      <c r="M107" s="186"/>
      <c r="N107" s="186"/>
      <c r="O107" s="186"/>
      <c r="P107" s="186"/>
      <c r="Q107" s="186"/>
      <c r="R107" s="186"/>
      <c r="S107" s="186"/>
      <c r="T107" s="186"/>
      <c r="U107" s="186"/>
      <c r="V107" s="186"/>
      <c r="W107" s="186"/>
      <c r="X107" s="186"/>
      <c r="Y107" s="186"/>
      <c r="Z107" s="186"/>
      <c r="AA107" s="186"/>
      <c r="AB107" s="186"/>
      <c r="AE107" s="28"/>
      <c r="AF107" s="161"/>
      <c r="AG107" s="28"/>
      <c r="AH107" s="28"/>
      <c r="AI107" s="28"/>
      <c r="AJ107" s="28"/>
      <c r="AK107" s="28"/>
      <c r="AL107" s="28"/>
      <c r="AM107" s="153"/>
      <c r="AN107" s="439"/>
    </row>
    <row r="108" spans="1:53" s="46" customFormat="1" ht="12.75" customHeight="1">
      <c r="A108" s="28"/>
      <c r="B108" s="161"/>
      <c r="C108" s="187"/>
      <c r="D108" s="144"/>
      <c r="E108" s="678" t="s">
        <v>1467</v>
      </c>
      <c r="F108" s="186"/>
      <c r="G108" s="186"/>
      <c r="H108" s="186"/>
      <c r="I108" s="186"/>
      <c r="J108" s="186"/>
      <c r="K108" s="186"/>
      <c r="L108" s="186"/>
      <c r="M108" s="186"/>
      <c r="N108" s="186"/>
      <c r="O108" s="186"/>
      <c r="P108" s="186"/>
      <c r="Q108" s="186"/>
      <c r="R108" s="186"/>
      <c r="S108" s="186"/>
      <c r="T108" s="186"/>
      <c r="U108" s="186"/>
      <c r="V108" s="186"/>
      <c r="W108" s="186"/>
      <c r="X108" s="186"/>
      <c r="Y108" s="186"/>
      <c r="Z108" s="186"/>
      <c r="AA108" s="186"/>
      <c r="AB108" s="186"/>
      <c r="AE108" s="28"/>
      <c r="AF108" s="161"/>
      <c r="AG108" s="28"/>
      <c r="AH108" s="28"/>
      <c r="AI108" s="28"/>
      <c r="AJ108" s="28"/>
      <c r="AK108" s="28"/>
      <c r="AL108" s="28"/>
      <c r="AM108" s="153"/>
      <c r="AN108" s="439"/>
    </row>
    <row r="109" spans="1:53" s="46" customFormat="1" ht="12.75" customHeight="1">
      <c r="A109" s="65"/>
      <c r="B109" s="65"/>
      <c r="C109" s="189"/>
      <c r="D109" s="144"/>
      <c r="E109" s="677"/>
      <c r="F109" s="65"/>
      <c r="G109" s="65"/>
      <c r="H109" s="65"/>
      <c r="I109" s="65"/>
      <c r="J109" s="65"/>
      <c r="K109" s="65"/>
      <c r="L109" s="65"/>
      <c r="M109" s="65"/>
      <c r="N109" s="65"/>
      <c r="O109" s="65"/>
      <c r="P109" s="65"/>
      <c r="Q109" s="65"/>
      <c r="R109" s="65"/>
      <c r="S109" s="65"/>
      <c r="T109" s="65"/>
      <c r="U109" s="65"/>
      <c r="V109" s="65"/>
      <c r="W109" s="65"/>
      <c r="X109" s="65"/>
      <c r="Y109" s="65"/>
      <c r="Z109" s="65"/>
      <c r="AA109" s="65"/>
      <c r="AB109" s="65"/>
      <c r="AE109" s="65"/>
      <c r="AM109" s="65"/>
      <c r="AN109" s="439"/>
    </row>
    <row r="110" spans="1:53" s="46" customFormat="1" ht="12.75" customHeight="1">
      <c r="A110" s="28"/>
      <c r="B110" s="74"/>
      <c r="C110" s="77"/>
      <c r="D110" s="144" t="s">
        <v>798</v>
      </c>
      <c r="E110" s="678" t="s">
        <v>1384</v>
      </c>
      <c r="F110" s="186"/>
      <c r="G110" s="186"/>
      <c r="H110" s="186"/>
      <c r="I110" s="186"/>
      <c r="J110" s="186"/>
      <c r="K110" s="186"/>
      <c r="L110" s="186"/>
      <c r="M110" s="186"/>
      <c r="N110" s="186"/>
      <c r="O110" s="186"/>
      <c r="P110" s="186"/>
      <c r="Q110" s="186"/>
      <c r="R110" s="186"/>
      <c r="S110" s="186"/>
      <c r="T110" s="186"/>
      <c r="U110" s="186"/>
      <c r="V110" s="186"/>
      <c r="W110" s="186"/>
      <c r="X110" s="186"/>
      <c r="Y110" s="186"/>
      <c r="Z110" s="186"/>
      <c r="AA110" s="186"/>
      <c r="AB110" s="186"/>
      <c r="AF110" s="2378" t="s">
        <v>65</v>
      </c>
      <c r="AG110" s="2378"/>
      <c r="AH110" s="2378"/>
      <c r="AI110" s="2378"/>
      <c r="AJ110" s="2378"/>
      <c r="AK110" s="2378"/>
      <c r="AL110" s="2378"/>
      <c r="AM110" s="153"/>
      <c r="AN110" s="439"/>
      <c r="AO110" s="46" t="str">
        <f>S138</f>
        <v>N/A</v>
      </c>
    </row>
    <row r="111" spans="1:53" s="46" customFormat="1" ht="12.75" customHeight="1">
      <c r="A111" s="28"/>
      <c r="B111" s="161"/>
      <c r="C111" s="187"/>
      <c r="D111" s="144"/>
      <c r="E111" s="678" t="s">
        <v>1469</v>
      </c>
      <c r="F111" s="186"/>
      <c r="G111" s="186"/>
      <c r="H111" s="186"/>
      <c r="I111" s="186"/>
      <c r="J111" s="186"/>
      <c r="K111" s="186"/>
      <c r="L111" s="186"/>
      <c r="M111" s="186"/>
      <c r="N111" s="186"/>
      <c r="O111" s="186"/>
      <c r="P111" s="186"/>
      <c r="Q111" s="186"/>
      <c r="R111" s="186"/>
      <c r="S111" s="186"/>
      <c r="T111" s="186"/>
      <c r="U111" s="186"/>
      <c r="V111" s="186"/>
      <c r="W111" s="186"/>
      <c r="X111" s="186"/>
      <c r="Y111" s="186"/>
      <c r="Z111" s="186"/>
      <c r="AA111" s="186"/>
      <c r="AB111" s="186"/>
      <c r="AC111" s="65"/>
      <c r="AD111" s="65"/>
      <c r="AE111" s="28"/>
      <c r="AF111" s="161"/>
      <c r="AG111" s="28"/>
      <c r="AH111" s="28"/>
      <c r="AI111" s="28"/>
      <c r="AJ111" s="28"/>
      <c r="AK111" s="28"/>
      <c r="AL111" s="28"/>
      <c r="AM111" s="153"/>
      <c r="AN111" s="439"/>
      <c r="AU111" s="179"/>
      <c r="AV111" s="179"/>
      <c r="AW111" s="179"/>
      <c r="AX111" s="179"/>
      <c r="AY111" s="179"/>
      <c r="AZ111" s="179"/>
      <c r="BA111" s="179"/>
    </row>
    <row r="112" spans="1:53" s="46" customFormat="1" ht="12.75" customHeight="1">
      <c r="A112" s="28"/>
      <c r="B112" s="148"/>
      <c r="C112" s="188"/>
      <c r="D112" s="144"/>
      <c r="E112" s="678" t="s">
        <v>1470</v>
      </c>
      <c r="F112" s="186"/>
      <c r="G112" s="186"/>
      <c r="H112" s="186"/>
      <c r="I112" s="186"/>
      <c r="J112" s="186"/>
      <c r="K112" s="186"/>
      <c r="L112" s="186"/>
      <c r="M112" s="186"/>
      <c r="N112" s="186"/>
      <c r="O112" s="186"/>
      <c r="P112" s="186"/>
      <c r="Q112" s="186"/>
      <c r="R112" s="186"/>
      <c r="S112" s="186"/>
      <c r="T112" s="186"/>
      <c r="U112" s="186"/>
      <c r="V112" s="186"/>
      <c r="W112" s="186"/>
      <c r="X112" s="186"/>
      <c r="Y112" s="186"/>
      <c r="Z112" s="186"/>
      <c r="AA112" s="186"/>
      <c r="AB112" s="186"/>
      <c r="AE112" s="28"/>
      <c r="AF112" s="161"/>
      <c r="AG112" s="28"/>
      <c r="AH112" s="28"/>
      <c r="AI112" s="28"/>
      <c r="AJ112" s="28"/>
      <c r="AK112" s="28"/>
      <c r="AL112" s="28"/>
      <c r="AM112" s="153"/>
      <c r="AN112" s="439"/>
    </row>
    <row r="113" spans="1:47" s="46" customFormat="1" ht="12.75" customHeight="1">
      <c r="A113" s="28"/>
      <c r="B113" s="148"/>
      <c r="C113" s="188"/>
      <c r="D113" s="144"/>
      <c r="E113" s="678"/>
      <c r="F113" s="186"/>
      <c r="G113" s="186"/>
      <c r="H113" s="186"/>
      <c r="I113" s="186"/>
      <c r="J113" s="186"/>
      <c r="K113" s="186"/>
      <c r="L113" s="186"/>
      <c r="M113" s="186"/>
      <c r="N113" s="186"/>
      <c r="O113" s="186"/>
      <c r="P113" s="186"/>
      <c r="Q113" s="186"/>
      <c r="R113" s="186"/>
      <c r="S113" s="186"/>
      <c r="T113" s="186"/>
      <c r="U113" s="186"/>
      <c r="V113" s="186"/>
      <c r="W113" s="186"/>
      <c r="X113" s="186"/>
      <c r="Y113" s="186"/>
      <c r="Z113" s="186"/>
      <c r="AA113" s="186"/>
      <c r="AB113" s="186"/>
      <c r="AE113" s="28"/>
      <c r="AF113" s="161"/>
      <c r="AG113" s="28"/>
      <c r="AH113" s="28"/>
      <c r="AI113" s="28"/>
      <c r="AJ113" s="28"/>
      <c r="AK113" s="28"/>
      <c r="AL113" s="28"/>
      <c r="AM113" s="153"/>
      <c r="AN113" s="439"/>
    </row>
    <row r="114" spans="1:47" s="137" customFormat="1" ht="12.75" customHeight="1">
      <c r="A114" s="28"/>
      <c r="B114" s="74"/>
      <c r="C114" s="77"/>
      <c r="D114" s="144" t="s">
        <v>799</v>
      </c>
      <c r="E114" s="678" t="s">
        <v>1385</v>
      </c>
      <c r="F114" s="186"/>
      <c r="G114" s="186"/>
      <c r="H114" s="186"/>
      <c r="I114" s="186"/>
      <c r="J114" s="186"/>
      <c r="K114" s="186"/>
      <c r="L114" s="186"/>
      <c r="M114" s="186"/>
      <c r="N114" s="186"/>
      <c r="O114" s="186"/>
      <c r="P114" s="186"/>
      <c r="Q114" s="186"/>
      <c r="R114" s="186"/>
      <c r="S114" s="186"/>
      <c r="T114" s="186"/>
      <c r="U114" s="186"/>
      <c r="V114" s="186"/>
      <c r="W114" s="186"/>
      <c r="X114" s="186"/>
      <c r="Y114" s="186"/>
      <c r="Z114" s="186"/>
      <c r="AA114" s="186"/>
      <c r="AB114" s="186"/>
      <c r="AC114" s="46"/>
      <c r="AD114" s="46"/>
      <c r="AF114" s="2378" t="s">
        <v>66</v>
      </c>
      <c r="AG114" s="2378"/>
      <c r="AH114" s="2378"/>
      <c r="AI114" s="2378"/>
      <c r="AJ114" s="2378"/>
      <c r="AK114" s="2378"/>
      <c r="AL114" s="2378"/>
      <c r="AM114" s="153"/>
      <c r="AN114" s="1140"/>
    </row>
    <row r="115" spans="1:47" s="46" customFormat="1" ht="12.75" customHeight="1">
      <c r="A115" s="28"/>
      <c r="B115" s="74"/>
      <c r="C115" s="77"/>
      <c r="D115" s="144"/>
      <c r="E115" s="678" t="s">
        <v>1471</v>
      </c>
      <c r="F115" s="186"/>
      <c r="G115" s="186"/>
      <c r="H115" s="186"/>
      <c r="I115" s="186"/>
      <c r="J115" s="186"/>
      <c r="K115" s="186"/>
      <c r="L115" s="186"/>
      <c r="M115" s="186"/>
      <c r="N115" s="186"/>
      <c r="O115" s="186"/>
      <c r="P115" s="186"/>
      <c r="Q115" s="186"/>
      <c r="R115" s="186"/>
      <c r="S115" s="186"/>
      <c r="T115" s="186"/>
      <c r="U115" s="186"/>
      <c r="V115" s="186"/>
      <c r="W115" s="186"/>
      <c r="X115" s="186"/>
      <c r="Y115" s="186"/>
      <c r="Z115" s="186"/>
      <c r="AA115" s="186"/>
      <c r="AB115" s="186"/>
      <c r="AE115" s="179"/>
      <c r="AM115" s="153"/>
      <c r="AN115" s="439"/>
    </row>
    <row r="116" spans="1:47" s="46" customFormat="1" ht="12.75" customHeight="1">
      <c r="A116" s="28"/>
      <c r="B116" s="161"/>
      <c r="C116" s="187"/>
      <c r="D116" s="28"/>
      <c r="E116" s="27"/>
      <c r="F116" s="190"/>
      <c r="G116" s="190"/>
      <c r="H116" s="190"/>
      <c r="I116" s="190"/>
      <c r="J116" s="190"/>
      <c r="K116" s="190"/>
      <c r="L116" s="190"/>
      <c r="M116" s="190"/>
      <c r="N116" s="190"/>
      <c r="O116" s="190"/>
      <c r="P116" s="190"/>
      <c r="Q116" s="190"/>
      <c r="R116" s="190"/>
      <c r="S116" s="190"/>
      <c r="T116" s="190"/>
      <c r="U116" s="190"/>
      <c r="V116" s="190"/>
      <c r="W116" s="190"/>
      <c r="X116" s="190"/>
      <c r="Y116" s="190"/>
      <c r="Z116" s="190"/>
      <c r="AA116" s="190"/>
      <c r="AB116" s="190"/>
      <c r="AC116" s="28"/>
      <c r="AD116" s="161"/>
      <c r="AE116" s="28"/>
      <c r="AF116" s="28"/>
      <c r="AG116" s="28"/>
      <c r="AH116" s="28"/>
      <c r="AI116" s="28"/>
      <c r="AK116" s="153"/>
      <c r="AL116" s="153"/>
      <c r="AM116" s="153"/>
      <c r="AN116" s="439"/>
      <c r="AO116" s="46" t="s">
        <v>136</v>
      </c>
      <c r="AP116" s="753">
        <v>0</v>
      </c>
      <c r="AT116" s="46" t="s">
        <v>136</v>
      </c>
      <c r="AU116" s="753">
        <v>0</v>
      </c>
    </row>
    <row r="117" spans="1:47" s="46" customFormat="1" ht="12.75" customHeight="1">
      <c r="A117" s="28"/>
      <c r="B117" s="161"/>
      <c r="C117" s="187"/>
      <c r="D117" s="28" t="s">
        <v>163</v>
      </c>
      <c r="E117" s="190"/>
      <c r="F117" s="190"/>
      <c r="G117" s="190"/>
      <c r="H117" s="2388" t="s">
        <v>641</v>
      </c>
      <c r="I117" s="2388"/>
      <c r="J117" s="190"/>
      <c r="K117" s="190"/>
      <c r="L117" s="190"/>
      <c r="M117" s="190"/>
      <c r="AN117" s="439"/>
      <c r="AO117" s="144" t="s">
        <v>641</v>
      </c>
      <c r="AP117" s="46">
        <v>3</v>
      </c>
      <c r="AT117" s="144" t="s">
        <v>641</v>
      </c>
      <c r="AU117" s="46">
        <v>3</v>
      </c>
    </row>
    <row r="118" spans="1:47" s="46" customFormat="1" ht="12.75" customHeight="1">
      <c r="A118" s="28"/>
      <c r="B118" s="161"/>
      <c r="C118" s="187"/>
      <c r="D118" s="28"/>
      <c r="E118" s="190"/>
      <c r="F118" s="190"/>
      <c r="G118" s="190"/>
      <c r="H118" s="190"/>
      <c r="I118" s="190"/>
      <c r="J118" s="190"/>
      <c r="K118" s="190"/>
      <c r="L118" s="190"/>
      <c r="M118" s="190"/>
      <c r="AN118" s="439"/>
      <c r="AO118" s="144" t="s">
        <v>214</v>
      </c>
      <c r="AP118" s="46">
        <v>2</v>
      </c>
      <c r="AT118" s="144" t="s">
        <v>214</v>
      </c>
      <c r="AU118" s="46">
        <v>2</v>
      </c>
    </row>
    <row r="119" spans="1:47" s="46" customFormat="1" ht="12.75" customHeight="1">
      <c r="A119" s="28"/>
      <c r="B119" s="161"/>
      <c r="C119" s="187"/>
      <c r="D119" s="28" t="s">
        <v>2085</v>
      </c>
      <c r="E119" s="190"/>
      <c r="F119" s="190"/>
      <c r="G119" s="190"/>
      <c r="H119" s="190"/>
      <c r="I119" s="190"/>
      <c r="J119" s="190"/>
      <c r="K119" s="190"/>
      <c r="L119" s="190"/>
      <c r="M119" s="190"/>
      <c r="AN119" s="439"/>
    </row>
    <row r="120" spans="1:47" s="46" customFormat="1" ht="12.75" customHeight="1">
      <c r="A120" s="28"/>
      <c r="B120" s="161"/>
      <c r="C120" s="187"/>
      <c r="D120" s="28" t="s">
        <v>2086</v>
      </c>
      <c r="E120" s="190"/>
      <c r="F120" s="190"/>
      <c r="G120" s="190"/>
      <c r="H120" s="190"/>
      <c r="I120" s="190"/>
      <c r="J120" s="190"/>
      <c r="K120" s="190"/>
      <c r="L120" s="190"/>
      <c r="M120" s="190"/>
      <c r="AN120" s="439"/>
    </row>
    <row r="121" spans="1:47" s="46" customFormat="1" ht="12.75" customHeight="1">
      <c r="A121" s="28"/>
      <c r="B121" s="161"/>
      <c r="C121" s="187"/>
      <c r="D121" s="59" t="s">
        <v>2087</v>
      </c>
      <c r="E121" s="190"/>
      <c r="F121" s="190"/>
      <c r="G121" s="190"/>
      <c r="H121" s="190"/>
      <c r="I121" s="190"/>
      <c r="J121" s="190"/>
      <c r="K121" s="190"/>
      <c r="L121" s="190"/>
      <c r="M121" s="190"/>
      <c r="AN121" s="439"/>
      <c r="AO121" s="46" t="s">
        <v>136</v>
      </c>
      <c r="AP121" s="753">
        <v>0</v>
      </c>
    </row>
    <row r="122" spans="1:47" s="46" customFormat="1" ht="12.75" customHeight="1">
      <c r="A122" s="28"/>
      <c r="B122" s="161"/>
      <c r="C122" s="187"/>
      <c r="D122" s="28" t="s">
        <v>2088</v>
      </c>
      <c r="E122" s="28"/>
      <c r="AN122" s="439"/>
      <c r="AO122" s="46" t="s">
        <v>1651</v>
      </c>
      <c r="AP122" s="46">
        <v>3</v>
      </c>
    </row>
    <row r="123" spans="1:47" s="46" customFormat="1" ht="12.75" customHeight="1">
      <c r="A123" s="28"/>
      <c r="B123" s="161"/>
      <c r="C123" s="187"/>
      <c r="D123" s="28"/>
      <c r="E123" s="28" t="s">
        <v>163</v>
      </c>
      <c r="F123" s="190"/>
      <c r="G123" s="190"/>
      <c r="H123" s="2484" t="s">
        <v>136</v>
      </c>
      <c r="I123" s="2484"/>
      <c r="J123" s="2484"/>
      <c r="K123" s="2484"/>
      <c r="L123" s="2484"/>
      <c r="M123" s="2484"/>
      <c r="N123" s="2484"/>
      <c r="O123" s="2484"/>
      <c r="P123" s="2484"/>
      <c r="Q123" s="2484"/>
      <c r="R123" s="2484"/>
      <c r="S123" s="2484"/>
      <c r="T123" s="2484"/>
      <c r="U123" s="2484"/>
      <c r="V123" s="2484"/>
      <c r="W123" s="2484"/>
      <c r="X123" s="2484"/>
      <c r="Y123" s="2484"/>
      <c r="Z123" s="2484"/>
      <c r="AA123" s="2484"/>
      <c r="AB123" s="2484"/>
      <c r="AC123" s="2484"/>
      <c r="AD123" s="2484"/>
      <c r="AE123" s="2484"/>
      <c r="AN123" s="439"/>
      <c r="AO123" s="46" t="s">
        <v>1652</v>
      </c>
      <c r="AP123" s="46">
        <v>2</v>
      </c>
    </row>
    <row r="124" spans="1:47" s="137" customFormat="1" ht="12.75" customHeight="1">
      <c r="A124" s="28"/>
      <c r="D124" s="28"/>
      <c r="F124" s="163"/>
      <c r="G124" s="163"/>
      <c r="H124" s="163"/>
      <c r="I124" s="163"/>
      <c r="J124" s="163"/>
      <c r="K124" s="163"/>
      <c r="L124" s="163"/>
      <c r="M124" s="163"/>
      <c r="N124" s="163"/>
      <c r="O124" s="163"/>
      <c r="P124" s="163"/>
      <c r="Q124" s="163"/>
      <c r="R124" s="163"/>
      <c r="S124" s="163"/>
      <c r="T124" s="163"/>
      <c r="U124" s="163"/>
      <c r="V124" s="163"/>
      <c r="W124" s="163"/>
      <c r="X124" s="163"/>
      <c r="Y124" s="163"/>
      <c r="Z124" s="163"/>
      <c r="AA124" s="163"/>
      <c r="AB124" s="163"/>
      <c r="AC124" s="163"/>
      <c r="AD124" s="163"/>
      <c r="AE124" s="163"/>
      <c r="AF124" s="436"/>
      <c r="AG124" s="436"/>
      <c r="AH124" s="436"/>
      <c r="AI124" s="436"/>
      <c r="AJ124" s="436"/>
      <c r="AK124" s="436"/>
      <c r="AL124" s="1300"/>
      <c r="AM124" s="46"/>
      <c r="AN124" s="1140"/>
    </row>
    <row r="125" spans="1:47" s="46" customFormat="1" ht="12.75" customHeight="1">
      <c r="A125" s="28"/>
      <c r="B125" s="1866" t="s">
        <v>136</v>
      </c>
      <c r="C125" s="1866"/>
      <c r="D125" s="436"/>
      <c r="E125" s="2340" t="s">
        <v>2004</v>
      </c>
      <c r="F125" s="2340"/>
      <c r="G125" s="2340"/>
      <c r="H125" s="2340"/>
      <c r="I125" s="2340"/>
      <c r="J125" s="2340"/>
      <c r="K125" s="2340"/>
      <c r="L125" s="2340"/>
      <c r="M125" s="2340"/>
      <c r="N125" s="2340"/>
      <c r="O125" s="2340"/>
      <c r="P125" s="2340"/>
      <c r="Q125" s="2340"/>
      <c r="R125" s="2340"/>
      <c r="S125" s="2340"/>
      <c r="T125" s="2340"/>
      <c r="U125" s="2340"/>
      <c r="V125" s="2340"/>
      <c r="W125" s="2340"/>
      <c r="X125" s="2340"/>
      <c r="Y125" s="2340"/>
      <c r="Z125" s="2340"/>
      <c r="AA125" s="2340"/>
      <c r="AB125" s="2340"/>
      <c r="AC125" s="2340"/>
      <c r="AD125" s="2340"/>
      <c r="AE125" s="2340"/>
      <c r="AF125" s="2340"/>
      <c r="AG125" s="2340"/>
      <c r="AH125" s="436"/>
      <c r="AI125" s="436"/>
      <c r="AJ125" s="436"/>
      <c r="AK125" s="436"/>
      <c r="AL125" s="1300"/>
      <c r="AN125" s="439"/>
    </row>
    <row r="126" spans="1:47" s="46" customFormat="1" ht="12.75" customHeight="1">
      <c r="A126" s="28"/>
      <c r="B126" s="161"/>
      <c r="C126" s="187"/>
      <c r="D126" s="436"/>
      <c r="E126" s="2340"/>
      <c r="F126" s="2340"/>
      <c r="G126" s="2340"/>
      <c r="H126" s="2340"/>
      <c r="I126" s="2340"/>
      <c r="J126" s="2340"/>
      <c r="K126" s="2340"/>
      <c r="L126" s="2340"/>
      <c r="M126" s="2340"/>
      <c r="N126" s="2340"/>
      <c r="O126" s="2340"/>
      <c r="P126" s="2340"/>
      <c r="Q126" s="2340"/>
      <c r="R126" s="2340"/>
      <c r="S126" s="2340"/>
      <c r="T126" s="2340"/>
      <c r="U126" s="2340"/>
      <c r="V126" s="2340"/>
      <c r="W126" s="2340"/>
      <c r="X126" s="2340"/>
      <c r="Y126" s="2340"/>
      <c r="Z126" s="2340"/>
      <c r="AA126" s="2340"/>
      <c r="AB126" s="2340"/>
      <c r="AC126" s="2340"/>
      <c r="AD126" s="2340"/>
      <c r="AE126" s="2340"/>
      <c r="AF126" s="2340"/>
      <c r="AG126" s="2340"/>
      <c r="AH126" s="436"/>
      <c r="AI126" s="436"/>
      <c r="AJ126" s="436"/>
      <c r="AK126" s="436"/>
      <c r="AL126" s="1300"/>
      <c r="AN126" s="439"/>
    </row>
    <row r="127" spans="1:47" s="46" customFormat="1" ht="12.75" customHeight="1">
      <c r="A127" s="28"/>
      <c r="B127" s="161"/>
      <c r="C127" s="187"/>
      <c r="D127" s="436"/>
      <c r="E127" s="2340"/>
      <c r="F127" s="2340"/>
      <c r="G127" s="2340"/>
      <c r="H127" s="2340"/>
      <c r="I127" s="2340"/>
      <c r="J127" s="2340"/>
      <c r="K127" s="2340"/>
      <c r="L127" s="2340"/>
      <c r="M127" s="2340"/>
      <c r="N127" s="2340"/>
      <c r="O127" s="2340"/>
      <c r="P127" s="2340"/>
      <c r="Q127" s="2340"/>
      <c r="R127" s="2340"/>
      <c r="S127" s="2340"/>
      <c r="T127" s="2340"/>
      <c r="U127" s="2340"/>
      <c r="V127" s="2340"/>
      <c r="W127" s="2340"/>
      <c r="X127" s="2340"/>
      <c r="Y127" s="2340"/>
      <c r="Z127" s="2340"/>
      <c r="AA127" s="2340"/>
      <c r="AB127" s="2340"/>
      <c r="AC127" s="2340"/>
      <c r="AD127" s="2340"/>
      <c r="AE127" s="2340"/>
      <c r="AF127" s="2340"/>
      <c r="AG127" s="2340"/>
      <c r="AH127" s="436"/>
      <c r="AI127" s="436"/>
      <c r="AJ127" s="436"/>
      <c r="AK127" s="436"/>
      <c r="AL127" s="1300"/>
      <c r="AN127" s="439"/>
    </row>
    <row r="128" spans="1:47" s="46" customFormat="1" ht="12.75" customHeight="1">
      <c r="A128" s="28"/>
      <c r="B128" s="161"/>
      <c r="C128" s="187"/>
      <c r="D128" s="478"/>
      <c r="E128" s="2483"/>
      <c r="F128" s="2483"/>
      <c r="G128" s="2483"/>
      <c r="H128" s="2483"/>
      <c r="I128" s="2483"/>
      <c r="J128" s="2483"/>
      <c r="K128" s="2483"/>
      <c r="L128" s="2483"/>
      <c r="M128" s="2483"/>
      <c r="N128" s="2483"/>
      <c r="O128" s="2483"/>
      <c r="P128" s="2483"/>
      <c r="Q128" s="2483"/>
      <c r="R128" s="2483"/>
      <c r="S128" s="2483"/>
      <c r="T128" s="2483"/>
      <c r="U128" s="2483"/>
      <c r="V128" s="2483"/>
      <c r="W128" s="2483"/>
      <c r="X128" s="2483"/>
      <c r="Y128" s="2483"/>
      <c r="Z128" s="2483"/>
      <c r="AA128" s="2483"/>
      <c r="AB128" s="2483"/>
      <c r="AC128" s="2483"/>
      <c r="AD128" s="2483"/>
      <c r="AE128" s="2483"/>
      <c r="AF128" s="2483"/>
      <c r="AG128" s="2483"/>
      <c r="AH128" s="478"/>
      <c r="AI128" s="478"/>
      <c r="AJ128" s="478"/>
      <c r="AK128" s="478"/>
      <c r="AL128" s="316"/>
      <c r="AN128" s="439"/>
    </row>
    <row r="129" spans="1:42" s="46" customFormat="1" ht="12.75" customHeight="1">
      <c r="A129" s="191"/>
      <c r="B129" s="159"/>
      <c r="C129" s="192"/>
      <c r="D129" s="167"/>
      <c r="E129" s="193"/>
      <c r="F129" s="193"/>
      <c r="G129" s="193"/>
      <c r="H129" s="193"/>
      <c r="I129" s="193"/>
      <c r="J129" s="193"/>
      <c r="K129" s="193"/>
      <c r="L129" s="193"/>
      <c r="M129" s="193"/>
      <c r="N129" s="193"/>
      <c r="O129" s="193"/>
      <c r="P129" s="193"/>
      <c r="Q129" s="193"/>
      <c r="R129" s="193"/>
      <c r="S129" s="193"/>
      <c r="T129" s="193"/>
      <c r="U129" s="193"/>
      <c r="V129" s="193"/>
      <c r="W129" s="193"/>
      <c r="X129" s="193"/>
      <c r="Y129" s="193"/>
      <c r="Z129" s="193"/>
      <c r="AA129" s="193"/>
      <c r="AB129" s="167"/>
      <c r="AC129" s="159"/>
      <c r="AD129" s="167"/>
      <c r="AE129" s="167"/>
      <c r="AF129" s="167"/>
      <c r="AG129" s="167"/>
      <c r="AH129" s="167"/>
      <c r="AI129" s="139" t="s">
        <v>1416</v>
      </c>
      <c r="AJ129" s="2373">
        <f>VLOOKUP($H$117,$AO$101:$AP$106,2,FALSE)+VLOOKUP($H$123,$AO$121:$AP$123,2,FALSE)</f>
        <v>7</v>
      </c>
      <c r="AK129" s="2374"/>
      <c r="AL129" s="25"/>
      <c r="AM129" s="190"/>
      <c r="AN129" s="439"/>
    </row>
    <row r="130" spans="1:42" s="46" customFormat="1" ht="12.75" customHeight="1">
      <c r="A130" s="28"/>
      <c r="B130" s="161"/>
      <c r="C130" s="187"/>
      <c r="D130" s="28"/>
      <c r="E130" s="190"/>
      <c r="F130" s="190"/>
      <c r="G130" s="190"/>
      <c r="H130" s="190"/>
      <c r="I130" s="190"/>
      <c r="J130" s="190"/>
      <c r="K130" s="190"/>
      <c r="L130" s="190"/>
      <c r="M130" s="190"/>
      <c r="N130" s="190"/>
      <c r="O130" s="190"/>
      <c r="P130" s="190"/>
      <c r="Q130" s="190"/>
      <c r="R130" s="190"/>
      <c r="S130" s="190"/>
      <c r="T130" s="190"/>
      <c r="U130" s="190"/>
      <c r="V130" s="190"/>
      <c r="W130" s="190"/>
      <c r="X130" s="190"/>
      <c r="Y130" s="190"/>
      <c r="Z130" s="190"/>
      <c r="AA130" s="190"/>
      <c r="AB130" s="190"/>
      <c r="AC130" s="28"/>
      <c r="AD130" s="161"/>
      <c r="AE130" s="190"/>
      <c r="AF130" s="190"/>
      <c r="AG130" s="190"/>
      <c r="AH130" s="190"/>
      <c r="AI130" s="190"/>
      <c r="AJ130" s="190"/>
      <c r="AK130" s="190"/>
      <c r="AL130" s="1307"/>
      <c r="AM130" s="190"/>
      <c r="AN130" s="439"/>
    </row>
    <row r="131" spans="1:42" s="46" customFormat="1" ht="12.75" customHeight="1">
      <c r="A131" s="28"/>
      <c r="B131" s="161"/>
      <c r="C131" s="48" t="s">
        <v>30</v>
      </c>
      <c r="D131" s="29"/>
      <c r="E131" s="190"/>
      <c r="F131" s="190"/>
      <c r="G131" s="190"/>
      <c r="H131" s="190"/>
      <c r="I131" s="190"/>
      <c r="J131" s="190"/>
      <c r="K131" s="190"/>
      <c r="L131" s="190"/>
      <c r="M131" s="190"/>
      <c r="N131" s="190"/>
      <c r="O131" s="190"/>
      <c r="P131" s="190"/>
      <c r="Q131" s="190"/>
      <c r="R131" s="190"/>
      <c r="S131" s="190"/>
      <c r="T131" s="190"/>
      <c r="U131" s="190"/>
      <c r="V131" s="190"/>
      <c r="W131" s="190"/>
      <c r="X131" s="190"/>
      <c r="Y131" s="190"/>
      <c r="Z131" s="190"/>
      <c r="AA131" s="190"/>
      <c r="AB131" s="190"/>
      <c r="AC131" s="28"/>
      <c r="AD131" s="161"/>
      <c r="AE131" s="28"/>
      <c r="AF131" s="28"/>
      <c r="AG131" s="28"/>
      <c r="AH131" s="162"/>
      <c r="AI131" s="28"/>
      <c r="AJ131" s="28"/>
      <c r="AK131" s="28"/>
      <c r="AL131" s="28"/>
      <c r="AM131" s="28"/>
      <c r="AN131" s="439"/>
    </row>
    <row r="132" spans="1:42" s="46" customFormat="1" ht="12.75" customHeight="1">
      <c r="A132" s="28"/>
      <c r="B132" s="148"/>
      <c r="D132" s="21"/>
      <c r="E132" s="190"/>
      <c r="F132" s="190"/>
      <c r="G132" s="190"/>
      <c r="H132" s="190"/>
      <c r="I132" s="190"/>
      <c r="J132" s="190"/>
      <c r="K132" s="190"/>
      <c r="L132" s="190"/>
      <c r="M132" s="190"/>
      <c r="N132" s="190"/>
      <c r="O132" s="190"/>
      <c r="P132" s="190"/>
      <c r="Q132" s="190"/>
      <c r="R132" s="190"/>
      <c r="S132" s="190"/>
      <c r="T132" s="190"/>
      <c r="U132" s="190"/>
      <c r="V132" s="190"/>
      <c r="W132" s="190"/>
      <c r="X132" s="190"/>
      <c r="Y132" s="190"/>
      <c r="Z132" s="190"/>
      <c r="AA132" s="190"/>
      <c r="AB132" s="190"/>
      <c r="AC132" s="28"/>
      <c r="AD132" s="161"/>
      <c r="AM132" s="153"/>
      <c r="AN132" s="439"/>
    </row>
    <row r="133" spans="1:42" s="205" customFormat="1" ht="12.75" customHeight="1">
      <c r="A133" s="28"/>
      <c r="B133" s="46"/>
      <c r="C133" s="46"/>
      <c r="D133" s="144" t="s">
        <v>641</v>
      </c>
      <c r="E133" s="2482" t="s">
        <v>2089</v>
      </c>
      <c r="F133" s="2482"/>
      <c r="G133" s="2482"/>
      <c r="H133" s="2482"/>
      <c r="I133" s="2482"/>
      <c r="J133" s="2482"/>
      <c r="K133" s="2482"/>
      <c r="L133" s="2482"/>
      <c r="M133" s="2482"/>
      <c r="N133" s="2482"/>
      <c r="O133" s="2482"/>
      <c r="P133" s="2482"/>
      <c r="Q133" s="2482"/>
      <c r="R133" s="2482"/>
      <c r="S133" s="2482"/>
      <c r="T133" s="2482"/>
      <c r="U133" s="2482"/>
      <c r="V133" s="2482"/>
      <c r="W133" s="2482"/>
      <c r="X133" s="2482"/>
      <c r="Y133" s="2482"/>
      <c r="Z133" s="2482"/>
      <c r="AA133" s="2482"/>
      <c r="AB133" s="2482"/>
      <c r="AC133" s="2482"/>
      <c r="AD133" s="2482"/>
      <c r="AF133" s="2378" t="s">
        <v>66</v>
      </c>
      <c r="AG133" s="2378"/>
      <c r="AH133" s="2378"/>
      <c r="AI133" s="2378"/>
      <c r="AJ133" s="2378"/>
      <c r="AK133" s="2378"/>
      <c r="AL133" s="2378"/>
      <c r="AM133" s="153"/>
      <c r="AN133" s="475"/>
    </row>
    <row r="134" spans="1:42" s="46" customFormat="1" ht="12.75" customHeight="1">
      <c r="A134" s="195"/>
      <c r="B134" s="161"/>
      <c r="C134" s="187"/>
      <c r="D134" s="144"/>
      <c r="E134" s="2482"/>
      <c r="F134" s="2482"/>
      <c r="G134" s="2482"/>
      <c r="H134" s="2482"/>
      <c r="I134" s="2482"/>
      <c r="J134" s="2482"/>
      <c r="K134" s="2482"/>
      <c r="L134" s="2482"/>
      <c r="M134" s="2482"/>
      <c r="N134" s="2482"/>
      <c r="O134" s="2482"/>
      <c r="P134" s="2482"/>
      <c r="Q134" s="2482"/>
      <c r="R134" s="2482"/>
      <c r="S134" s="2482"/>
      <c r="T134" s="2482"/>
      <c r="U134" s="2482"/>
      <c r="V134" s="2482"/>
      <c r="W134" s="2482"/>
      <c r="X134" s="2482"/>
      <c r="Y134" s="2482"/>
      <c r="Z134" s="2482"/>
      <c r="AA134" s="2482"/>
      <c r="AB134" s="2482"/>
      <c r="AC134" s="2482"/>
      <c r="AD134" s="2482"/>
      <c r="AE134" s="153"/>
      <c r="AF134" s="74"/>
      <c r="AG134" s="153"/>
      <c r="AH134" s="153"/>
      <c r="AI134" s="153"/>
      <c r="AJ134" s="153"/>
      <c r="AK134" s="153"/>
      <c r="AL134" s="153"/>
      <c r="AM134" s="153"/>
      <c r="AN134" s="439"/>
    </row>
    <row r="135" spans="1:42" s="46" customFormat="1" ht="12.75" customHeight="1">
      <c r="A135" s="28"/>
      <c r="B135" s="161"/>
      <c r="C135" s="188"/>
      <c r="D135" s="144"/>
      <c r="E135" s="2482"/>
      <c r="F135" s="2482"/>
      <c r="G135" s="2482"/>
      <c r="H135" s="2482"/>
      <c r="I135" s="2482"/>
      <c r="J135" s="2482"/>
      <c r="K135" s="2482"/>
      <c r="L135" s="2482"/>
      <c r="M135" s="2482"/>
      <c r="N135" s="2482"/>
      <c r="O135" s="2482"/>
      <c r="P135" s="2482"/>
      <c r="Q135" s="2482"/>
      <c r="R135" s="2482"/>
      <c r="S135" s="2482"/>
      <c r="T135" s="2482"/>
      <c r="U135" s="2482"/>
      <c r="V135" s="2482"/>
      <c r="W135" s="2482"/>
      <c r="X135" s="2482"/>
      <c r="Y135" s="2482"/>
      <c r="Z135" s="2482"/>
      <c r="AA135" s="2482"/>
      <c r="AB135" s="2482"/>
      <c r="AC135" s="2482"/>
      <c r="AD135" s="2482"/>
      <c r="AE135" s="153"/>
      <c r="AF135" s="74"/>
      <c r="AG135" s="153"/>
      <c r="AH135" s="153"/>
      <c r="AI135" s="153"/>
      <c r="AJ135" s="153"/>
      <c r="AK135" s="153"/>
      <c r="AL135" s="153"/>
      <c r="AM135" s="153"/>
      <c r="AN135" s="439"/>
    </row>
    <row r="136" spans="1:42" s="46" customFormat="1" ht="12.75" customHeight="1">
      <c r="A136" s="57"/>
      <c r="B136" s="173"/>
      <c r="C136" s="196"/>
      <c r="D136" s="144"/>
      <c r="E136" s="2482"/>
      <c r="F136" s="2482"/>
      <c r="G136" s="2482"/>
      <c r="H136" s="2482"/>
      <c r="I136" s="2482"/>
      <c r="J136" s="2482"/>
      <c r="K136" s="2482"/>
      <c r="L136" s="2482"/>
      <c r="M136" s="2482"/>
      <c r="N136" s="2482"/>
      <c r="O136" s="2482"/>
      <c r="P136" s="2482"/>
      <c r="Q136" s="2482"/>
      <c r="R136" s="2482"/>
      <c r="S136" s="2482"/>
      <c r="T136" s="2482"/>
      <c r="U136" s="2482"/>
      <c r="V136" s="2482"/>
      <c r="W136" s="2482"/>
      <c r="X136" s="2482"/>
      <c r="Y136" s="2482"/>
      <c r="Z136" s="2482"/>
      <c r="AA136" s="2482"/>
      <c r="AB136" s="2482"/>
      <c r="AC136" s="2482"/>
      <c r="AD136" s="2482"/>
      <c r="AE136" s="27"/>
      <c r="AF136" s="173"/>
      <c r="AG136" s="27"/>
      <c r="AH136" s="27"/>
      <c r="AI136" s="27"/>
      <c r="AJ136" s="27"/>
      <c r="AK136" s="153"/>
      <c r="AL136" s="153"/>
      <c r="AM136" s="153"/>
      <c r="AN136" s="439"/>
    </row>
    <row r="137" spans="1:42" s="46" customFormat="1" ht="23.1" customHeight="1">
      <c r="A137" s="28"/>
      <c r="B137" s="173"/>
      <c r="C137" s="196"/>
      <c r="D137" s="144"/>
      <c r="E137" s="2482"/>
      <c r="F137" s="2482"/>
      <c r="G137" s="2482"/>
      <c r="H137" s="2482"/>
      <c r="I137" s="2482"/>
      <c r="J137" s="2482"/>
      <c r="K137" s="2482"/>
      <c r="L137" s="2482"/>
      <c r="M137" s="2482"/>
      <c r="N137" s="2482"/>
      <c r="O137" s="2482"/>
      <c r="P137" s="2482"/>
      <c r="Q137" s="2482"/>
      <c r="R137" s="2482"/>
      <c r="S137" s="2482"/>
      <c r="T137" s="2482"/>
      <c r="U137" s="2482"/>
      <c r="V137" s="2482"/>
      <c r="W137" s="2482"/>
      <c r="X137" s="2482"/>
      <c r="Y137" s="2482"/>
      <c r="Z137" s="2482"/>
      <c r="AA137" s="2482"/>
      <c r="AB137" s="2482"/>
      <c r="AC137" s="2482"/>
      <c r="AD137" s="2482"/>
      <c r="AE137" s="27"/>
      <c r="AF137" s="173"/>
      <c r="AG137" s="27"/>
      <c r="AH137" s="27"/>
      <c r="AI137" s="27"/>
      <c r="AJ137" s="27"/>
      <c r="AK137" s="153"/>
      <c r="AL137" s="153"/>
      <c r="AM137" s="153"/>
      <c r="AN137" s="439"/>
      <c r="AO137" s="137" t="s">
        <v>136</v>
      </c>
      <c r="AP137" s="754">
        <v>0</v>
      </c>
    </row>
    <row r="138" spans="1:42" s="46" customFormat="1" ht="12.75" customHeight="1">
      <c r="A138" s="28"/>
      <c r="B138" s="173"/>
      <c r="C138" s="77"/>
      <c r="D138" s="144"/>
      <c r="E138" s="27" t="s">
        <v>113</v>
      </c>
      <c r="F138" s="1157"/>
      <c r="G138" s="1157"/>
      <c r="H138" s="1157"/>
      <c r="I138" s="1157"/>
      <c r="J138" s="1157"/>
      <c r="K138" s="1157"/>
      <c r="L138" s="1157"/>
      <c r="M138" s="1157"/>
      <c r="N138" s="1157"/>
      <c r="O138" s="1157"/>
      <c r="P138" s="1157"/>
      <c r="Q138" s="1157"/>
      <c r="R138" s="1157"/>
      <c r="S138" s="2474" t="s">
        <v>136</v>
      </c>
      <c r="T138" s="2474"/>
      <c r="U138" s="1157"/>
      <c r="V138" s="1157"/>
      <c r="W138" s="1157"/>
      <c r="X138" s="1157"/>
      <c r="Y138" s="1157"/>
      <c r="Z138" s="1157"/>
      <c r="AA138" s="1157"/>
      <c r="AB138" s="1157"/>
      <c r="AC138" s="1157"/>
      <c r="AD138" s="1157"/>
      <c r="AF138" s="173"/>
      <c r="AG138" s="27"/>
      <c r="AH138" s="27"/>
      <c r="AI138" s="27"/>
      <c r="AJ138" s="27"/>
      <c r="AK138" s="153"/>
      <c r="AL138" s="153"/>
      <c r="AM138" s="153"/>
      <c r="AN138" s="439"/>
      <c r="AO138" s="144" t="s">
        <v>641</v>
      </c>
      <c r="AP138" s="46">
        <v>5</v>
      </c>
    </row>
    <row r="139" spans="1:42" s="46" customFormat="1" ht="12.75" customHeight="1">
      <c r="A139" s="28"/>
      <c r="B139" s="173"/>
      <c r="C139" s="196"/>
      <c r="W139" s="27"/>
      <c r="X139" s="27"/>
      <c r="Y139" s="27"/>
      <c r="Z139" s="27"/>
      <c r="AA139" s="27"/>
      <c r="AB139" s="27"/>
      <c r="AM139" s="153"/>
      <c r="AN139" s="439"/>
      <c r="AO139" s="144" t="s">
        <v>214</v>
      </c>
      <c r="AP139" s="206">
        <v>4</v>
      </c>
    </row>
    <row r="140" spans="1:42" s="46" customFormat="1" ht="12.75" customHeight="1">
      <c r="A140" s="28"/>
      <c r="B140" s="74"/>
      <c r="C140" s="77"/>
      <c r="D140" s="144" t="s">
        <v>214</v>
      </c>
      <c r="E140" s="541" t="s">
        <v>1386</v>
      </c>
      <c r="F140" s="197"/>
      <c r="G140" s="197"/>
      <c r="H140" s="197"/>
      <c r="I140" s="197"/>
      <c r="J140" s="197"/>
      <c r="K140" s="197"/>
      <c r="L140" s="197"/>
      <c r="M140" s="197"/>
      <c r="N140" s="197"/>
      <c r="O140" s="197"/>
      <c r="P140" s="197"/>
      <c r="Q140" s="197"/>
      <c r="R140" s="197"/>
      <c r="S140" s="197"/>
      <c r="T140" s="197"/>
      <c r="W140" s="197"/>
      <c r="X140" s="197"/>
      <c r="Y140" s="197"/>
      <c r="Z140" s="197"/>
      <c r="AA140" s="197"/>
      <c r="AB140" s="197"/>
      <c r="AF140" s="2378" t="s">
        <v>114</v>
      </c>
      <c r="AG140" s="2378"/>
      <c r="AH140" s="2378"/>
      <c r="AI140" s="2378"/>
      <c r="AJ140" s="2378"/>
      <c r="AK140" s="2378"/>
      <c r="AL140" s="2378"/>
      <c r="AM140" s="153"/>
      <c r="AN140" s="439"/>
      <c r="AO140" s="144" t="s">
        <v>992</v>
      </c>
      <c r="AP140" s="46">
        <v>3</v>
      </c>
    </row>
    <row r="141" spans="1:42" s="137" customFormat="1" ht="12.75" customHeight="1">
      <c r="A141" s="28"/>
      <c r="B141" s="74"/>
      <c r="C141" s="77"/>
      <c r="D141" s="28"/>
      <c r="F141" s="197"/>
      <c r="G141" s="197"/>
      <c r="H141" s="197"/>
      <c r="I141" s="197"/>
      <c r="J141" s="197"/>
      <c r="K141" s="197"/>
      <c r="L141" s="197"/>
      <c r="M141" s="197"/>
      <c r="N141" s="197"/>
      <c r="O141" s="197"/>
      <c r="P141" s="197"/>
      <c r="Q141" s="197"/>
      <c r="R141" s="197"/>
      <c r="S141" s="197"/>
      <c r="T141" s="197"/>
      <c r="U141" s="46"/>
      <c r="X141" s="197"/>
      <c r="Y141" s="197"/>
      <c r="Z141" s="197"/>
      <c r="AA141" s="197"/>
      <c r="AB141" s="197"/>
      <c r="AC141" s="46"/>
      <c r="AD141" s="46"/>
      <c r="AE141" s="46"/>
      <c r="AF141" s="46"/>
      <c r="AG141" s="46"/>
      <c r="AH141" s="46"/>
      <c r="AI141" s="46"/>
      <c r="AJ141" s="46"/>
      <c r="AK141" s="153"/>
      <c r="AL141" s="153"/>
      <c r="AM141" s="153"/>
      <c r="AN141" s="1140"/>
      <c r="AO141" s="144" t="s">
        <v>798</v>
      </c>
      <c r="AP141" s="206">
        <v>4</v>
      </c>
    </row>
    <row r="142" spans="1:42" s="46" customFormat="1" ht="12.75" customHeight="1">
      <c r="A142" s="28"/>
      <c r="B142" s="74"/>
      <c r="C142" s="77"/>
      <c r="D142" s="28" t="s">
        <v>163</v>
      </c>
      <c r="E142" s="190"/>
      <c r="F142" s="190"/>
      <c r="G142" s="190"/>
      <c r="H142" s="2388" t="s">
        <v>641</v>
      </c>
      <c r="I142" s="2388"/>
      <c r="J142" s="197"/>
      <c r="K142" s="197"/>
      <c r="L142" s="197"/>
      <c r="M142" s="197"/>
      <c r="N142" s="197"/>
      <c r="O142" s="197"/>
      <c r="P142" s="197"/>
      <c r="Q142" s="197"/>
      <c r="R142" s="197"/>
      <c r="S142" s="197"/>
      <c r="T142" s="197"/>
      <c r="U142" s="190"/>
      <c r="V142" s="190"/>
      <c r="W142" s="190"/>
      <c r="AN142" s="439"/>
      <c r="AO142" s="144" t="s">
        <v>799</v>
      </c>
      <c r="AP142" s="46">
        <v>3</v>
      </c>
    </row>
    <row r="143" spans="1:42" s="46" customFormat="1" ht="12.75" customHeight="1">
      <c r="A143" s="28"/>
      <c r="B143" s="74"/>
      <c r="C143" s="77"/>
      <c r="E143" s="190"/>
      <c r="F143" s="197"/>
      <c r="G143" s="197"/>
      <c r="H143" s="197"/>
      <c r="I143" s="816"/>
      <c r="J143" s="197"/>
      <c r="K143" s="197"/>
      <c r="L143" s="197"/>
      <c r="M143" s="197"/>
      <c r="N143" s="197"/>
      <c r="O143" s="197"/>
      <c r="P143" s="197"/>
      <c r="Q143" s="197"/>
      <c r="T143" s="197"/>
      <c r="U143" s="190"/>
      <c r="V143" s="190"/>
      <c r="W143" s="190"/>
      <c r="X143" s="190"/>
      <c r="Y143" s="190"/>
      <c r="Z143" s="190"/>
      <c r="AA143" s="190"/>
      <c r="AB143" s="190"/>
      <c r="AC143" s="28"/>
      <c r="AD143" s="161"/>
      <c r="AE143" s="28"/>
      <c r="AF143" s="28"/>
      <c r="AG143" s="28"/>
      <c r="AH143" s="28"/>
      <c r="AI143" s="197"/>
      <c r="AJ143" s="197"/>
      <c r="AK143" s="197"/>
      <c r="AL143" s="197"/>
      <c r="AM143" s="197"/>
      <c r="AN143" s="439"/>
      <c r="AO143" s="144" t="s">
        <v>308</v>
      </c>
      <c r="AP143" s="46">
        <v>2</v>
      </c>
    </row>
    <row r="144" spans="1:42" s="46" customFormat="1" ht="12.75" customHeight="1">
      <c r="A144" s="191"/>
      <c r="B144" s="146"/>
      <c r="C144" s="198"/>
      <c r="D144" s="167"/>
      <c r="E144" s="193"/>
      <c r="F144" s="193"/>
      <c r="G144" s="199"/>
      <c r="H144" s="199"/>
      <c r="I144" s="199"/>
      <c r="J144" s="199"/>
      <c r="K144" s="199"/>
      <c r="L144" s="199"/>
      <c r="M144" s="199"/>
      <c r="N144" s="199"/>
      <c r="O144" s="199"/>
      <c r="P144" s="199"/>
      <c r="Q144" s="199"/>
      <c r="R144" s="199"/>
      <c r="S144" s="199"/>
      <c r="T144" s="193"/>
      <c r="U144" s="193"/>
      <c r="V144" s="193"/>
      <c r="W144" s="193"/>
      <c r="X144" s="193"/>
      <c r="Y144" s="193"/>
      <c r="Z144" s="193"/>
      <c r="AA144" s="193"/>
      <c r="AB144" s="167"/>
      <c r="AC144" s="159"/>
      <c r="AD144" s="167"/>
      <c r="AE144" s="167"/>
      <c r="AF144" s="167"/>
      <c r="AG144" s="167"/>
      <c r="AH144" s="167"/>
      <c r="AI144" s="139" t="s">
        <v>711</v>
      </c>
      <c r="AJ144" s="2373">
        <f>VLOOKUP($H$142,$AO$116:$AP$118,2,FALSE)</f>
        <v>3</v>
      </c>
      <c r="AK144" s="2374"/>
      <c r="AL144" s="25"/>
      <c r="AM144" s="137"/>
      <c r="AN144" s="439"/>
      <c r="AO144" s="144" t="s">
        <v>309</v>
      </c>
      <c r="AP144" s="46">
        <v>1</v>
      </c>
    </row>
    <row r="145" spans="1:42" s="46" customFormat="1" ht="12.75" customHeight="1">
      <c r="A145" s="28"/>
      <c r="B145" s="74"/>
      <c r="C145" s="77"/>
      <c r="D145" s="28"/>
      <c r="E145" s="190"/>
      <c r="F145" s="190"/>
      <c r="G145" s="190"/>
      <c r="H145" s="28"/>
      <c r="I145" s="28"/>
      <c r="J145" s="197"/>
      <c r="K145" s="197"/>
      <c r="L145" s="197"/>
      <c r="M145" s="197"/>
      <c r="N145" s="197"/>
      <c r="O145" s="197"/>
      <c r="P145" s="197"/>
      <c r="Q145" s="197"/>
      <c r="R145" s="197"/>
      <c r="S145" s="197"/>
      <c r="T145" s="197"/>
      <c r="U145" s="190"/>
      <c r="V145" s="190"/>
      <c r="W145" s="190"/>
      <c r="X145" s="190"/>
      <c r="Y145" s="190"/>
      <c r="Z145" s="190"/>
      <c r="AA145" s="190"/>
      <c r="AB145" s="190"/>
      <c r="AC145" s="28"/>
      <c r="AD145" s="161"/>
      <c r="AE145" s="28"/>
      <c r="AF145" s="28"/>
      <c r="AG145" s="28"/>
      <c r="AH145" s="28"/>
      <c r="AI145" s="28"/>
      <c r="AJ145" s="200"/>
      <c r="AK145" s="28"/>
      <c r="AL145" s="28"/>
      <c r="AM145" s="28"/>
      <c r="AN145" s="439"/>
    </row>
    <row r="146" spans="1:42" s="46" customFormat="1" ht="12.75" customHeight="1">
      <c r="A146" s="28"/>
      <c r="B146" s="74"/>
      <c r="C146" s="48" t="s">
        <v>105</v>
      </c>
      <c r="D146" s="28"/>
      <c r="E146" s="190"/>
      <c r="F146" s="197"/>
      <c r="G146" s="197"/>
      <c r="H146" s="197"/>
      <c r="I146" s="197"/>
      <c r="J146" s="197"/>
      <c r="K146" s="197"/>
      <c r="L146" s="197"/>
      <c r="M146" s="197"/>
      <c r="N146" s="197"/>
      <c r="O146" s="197"/>
      <c r="P146" s="197"/>
      <c r="Q146" s="197"/>
      <c r="R146" s="197"/>
      <c r="S146" s="197"/>
      <c r="T146" s="197"/>
      <c r="U146" s="162"/>
      <c r="V146" s="162"/>
      <c r="W146" s="197"/>
      <c r="X146" s="197"/>
      <c r="Y146" s="197"/>
      <c r="Z146" s="197"/>
      <c r="AA146" s="197"/>
      <c r="AB146" s="197"/>
      <c r="AC146" s="179"/>
      <c r="AD146" s="179"/>
      <c r="AE146" s="179"/>
      <c r="AF146" s="179"/>
      <c r="AG146" s="179"/>
      <c r="AH146" s="179"/>
      <c r="AI146" s="179"/>
      <c r="AJ146" s="162"/>
      <c r="AK146" s="153"/>
      <c r="AL146" s="153"/>
      <c r="AM146" s="153"/>
      <c r="AN146" s="439"/>
    </row>
    <row r="147" spans="1:42" s="46" customFormat="1" ht="12.75" customHeight="1">
      <c r="A147" s="57"/>
      <c r="B147" s="161"/>
      <c r="C147" s="187"/>
      <c r="D147" s="28"/>
      <c r="E147" s="197"/>
      <c r="F147" s="197"/>
      <c r="G147" s="197"/>
      <c r="H147" s="197"/>
      <c r="I147" s="197"/>
      <c r="J147" s="197"/>
      <c r="K147" s="197"/>
      <c r="L147" s="197"/>
      <c r="M147" s="197"/>
      <c r="N147" s="197"/>
      <c r="O147" s="197"/>
      <c r="P147" s="197"/>
      <c r="Q147" s="197"/>
      <c r="R147" s="197"/>
      <c r="S147" s="197"/>
      <c r="T147" s="197"/>
      <c r="U147" s="197"/>
      <c r="V147" s="197"/>
      <c r="W147" s="197"/>
      <c r="X147" s="197"/>
      <c r="Y147" s="197"/>
      <c r="Z147" s="197"/>
      <c r="AA147" s="197"/>
      <c r="AB147" s="197"/>
      <c r="AC147" s="28"/>
      <c r="AD147" s="161"/>
      <c r="AL147" s="153"/>
      <c r="AM147" s="153"/>
      <c r="AN147" s="439"/>
    </row>
    <row r="148" spans="1:42" s="46" customFormat="1" ht="12.75" customHeight="1">
      <c r="A148" s="28"/>
      <c r="D148" s="144" t="s">
        <v>641</v>
      </c>
      <c r="E148" s="27" t="s">
        <v>1040</v>
      </c>
      <c r="F148" s="197"/>
      <c r="G148" s="197"/>
      <c r="H148" s="197"/>
      <c r="I148" s="197"/>
      <c r="J148" s="197"/>
      <c r="K148" s="197"/>
      <c r="L148" s="197"/>
      <c r="M148" s="197"/>
      <c r="N148" s="197"/>
      <c r="O148" s="197"/>
      <c r="P148" s="197"/>
      <c r="Q148" s="197"/>
      <c r="R148" s="197"/>
      <c r="S148" s="197"/>
      <c r="T148" s="197"/>
      <c r="U148" s="197"/>
      <c r="V148" s="197"/>
      <c r="W148" s="197"/>
      <c r="X148" s="197"/>
      <c r="Y148" s="197"/>
      <c r="Z148" s="197"/>
      <c r="AA148" s="197"/>
      <c r="AB148" s="197"/>
      <c r="AF148" s="2378" t="s">
        <v>66</v>
      </c>
      <c r="AG148" s="2378"/>
      <c r="AH148" s="2378"/>
      <c r="AI148" s="2378"/>
      <c r="AJ148" s="2378"/>
      <c r="AK148" s="2378"/>
      <c r="AL148" s="2378"/>
      <c r="AM148" s="153"/>
      <c r="AN148" s="439"/>
    </row>
    <row r="149" spans="1:42" s="46" customFormat="1" ht="12.75" customHeight="1">
      <c r="A149" s="28"/>
      <c r="D149" s="144"/>
      <c r="E149" s="27" t="s">
        <v>1041</v>
      </c>
      <c r="F149" s="197"/>
      <c r="G149" s="197"/>
      <c r="H149" s="197"/>
      <c r="I149" s="197"/>
      <c r="J149" s="197"/>
      <c r="K149" s="197"/>
      <c r="L149" s="197"/>
      <c r="M149" s="197"/>
      <c r="N149" s="197"/>
      <c r="O149" s="197"/>
      <c r="P149" s="197"/>
      <c r="Q149" s="197"/>
      <c r="R149" s="197"/>
      <c r="S149" s="197"/>
      <c r="T149" s="197"/>
      <c r="U149" s="197"/>
      <c r="V149" s="197"/>
      <c r="W149" s="197"/>
      <c r="X149" s="197"/>
      <c r="Y149" s="197"/>
      <c r="Z149" s="197"/>
      <c r="AA149" s="197"/>
      <c r="AB149" s="197"/>
      <c r="AE149" s="179"/>
      <c r="AF149" s="179"/>
      <c r="AG149" s="179"/>
      <c r="AH149" s="179"/>
      <c r="AI149" s="179"/>
      <c r="AJ149" s="179"/>
      <c r="AK149" s="179"/>
      <c r="AL149" s="1304"/>
      <c r="AM149" s="153"/>
      <c r="AN149" s="439"/>
    </row>
    <row r="150" spans="1:42" s="46" customFormat="1" ht="12.75" customHeight="1">
      <c r="A150" s="28"/>
      <c r="B150" s="173"/>
      <c r="C150" s="196"/>
      <c r="D150" s="144"/>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E150" s="27"/>
      <c r="AM150" s="153"/>
      <c r="AN150" s="439"/>
    </row>
    <row r="151" spans="1:42" s="46" customFormat="1" ht="12.75" customHeight="1">
      <c r="A151" s="28"/>
      <c r="B151" s="74"/>
      <c r="C151" s="77"/>
      <c r="D151" s="144" t="s">
        <v>214</v>
      </c>
      <c r="E151" s="27" t="s">
        <v>1387</v>
      </c>
      <c r="F151" s="27"/>
      <c r="G151" s="27"/>
      <c r="H151" s="27"/>
      <c r="I151" s="27"/>
      <c r="J151" s="27"/>
      <c r="K151" s="27"/>
      <c r="L151" s="27"/>
      <c r="M151" s="27"/>
      <c r="N151" s="27"/>
      <c r="O151" s="27"/>
      <c r="P151" s="27"/>
      <c r="Q151" s="27"/>
      <c r="R151" s="27"/>
      <c r="S151" s="27"/>
      <c r="T151" s="27"/>
      <c r="U151" s="27"/>
      <c r="V151" s="27"/>
      <c r="W151" s="27"/>
      <c r="X151" s="27"/>
      <c r="Y151" s="27"/>
      <c r="Z151" s="27"/>
      <c r="AA151" s="27"/>
      <c r="AB151" s="27"/>
      <c r="AF151" s="2378" t="s">
        <v>114</v>
      </c>
      <c r="AG151" s="2378"/>
      <c r="AH151" s="2378"/>
      <c r="AI151" s="2378"/>
      <c r="AJ151" s="2378"/>
      <c r="AK151" s="2378"/>
      <c r="AL151" s="2378"/>
      <c r="AM151" s="153"/>
      <c r="AN151" s="439"/>
    </row>
    <row r="152" spans="1:42" s="46" customFormat="1" ht="12.75" customHeight="1">
      <c r="A152" s="28"/>
      <c r="B152" s="74"/>
      <c r="C152" s="77"/>
      <c r="D152" s="144"/>
      <c r="E152" s="27" t="s">
        <v>1388</v>
      </c>
      <c r="F152" s="27"/>
      <c r="G152" s="27"/>
      <c r="H152" s="27"/>
      <c r="I152" s="27"/>
      <c r="J152" s="27"/>
      <c r="K152" s="27"/>
      <c r="L152" s="27"/>
      <c r="M152" s="27"/>
      <c r="N152" s="27"/>
      <c r="O152" s="27"/>
      <c r="P152" s="27"/>
      <c r="Q152" s="27"/>
      <c r="R152" s="27"/>
      <c r="S152" s="27"/>
      <c r="T152" s="27"/>
      <c r="U152" s="27"/>
      <c r="V152" s="27"/>
      <c r="W152" s="27"/>
      <c r="X152" s="27"/>
      <c r="Y152" s="27"/>
      <c r="Z152" s="27"/>
      <c r="AA152" s="27"/>
      <c r="AB152" s="27"/>
      <c r="AE152" s="179"/>
      <c r="AF152" s="179"/>
      <c r="AG152" s="179"/>
      <c r="AH152" s="179"/>
      <c r="AI152" s="179"/>
      <c r="AJ152" s="179"/>
      <c r="AK152" s="179"/>
      <c r="AL152" s="1304"/>
      <c r="AM152" s="153"/>
      <c r="AN152" s="439"/>
    </row>
    <row r="153" spans="1:42" s="137" customFormat="1" ht="12.75" customHeight="1">
      <c r="A153" s="28"/>
      <c r="B153" s="74"/>
      <c r="C153" s="77"/>
      <c r="D153" s="28"/>
      <c r="E153" s="27"/>
      <c r="F153" s="27"/>
      <c r="G153" s="27"/>
      <c r="H153" s="27"/>
      <c r="I153" s="27"/>
      <c r="J153" s="27"/>
      <c r="K153" s="27"/>
      <c r="L153" s="27"/>
      <c r="M153" s="27"/>
      <c r="N153" s="27"/>
      <c r="O153" s="27"/>
      <c r="P153" s="27"/>
      <c r="Q153" s="27"/>
      <c r="R153" s="27"/>
      <c r="S153" s="27"/>
      <c r="T153" s="27"/>
      <c r="U153" s="27"/>
      <c r="V153" s="27"/>
      <c r="W153" s="27"/>
      <c r="X153" s="27"/>
      <c r="Y153" s="27"/>
      <c r="Z153" s="27"/>
      <c r="AA153" s="27"/>
      <c r="AB153" s="27"/>
      <c r="AC153" s="46"/>
      <c r="AD153" s="46"/>
      <c r="AE153" s="46"/>
      <c r="AF153" s="46"/>
      <c r="AG153" s="46"/>
      <c r="AH153" s="46"/>
      <c r="AI153" s="46"/>
      <c r="AJ153" s="46"/>
      <c r="AK153" s="153"/>
      <c r="AL153" s="153"/>
      <c r="AM153" s="153"/>
      <c r="AN153" s="1140"/>
      <c r="AP153" s="206"/>
    </row>
    <row r="154" spans="1:42" s="46" customFormat="1" ht="12.75" customHeight="1">
      <c r="A154" s="28"/>
      <c r="B154" s="74"/>
      <c r="C154" s="77"/>
      <c r="D154" s="28" t="s">
        <v>163</v>
      </c>
      <c r="E154" s="190"/>
      <c r="F154" s="190"/>
      <c r="G154" s="190"/>
      <c r="H154" s="2388" t="s">
        <v>136</v>
      </c>
      <c r="I154" s="2388"/>
      <c r="J154" s="27"/>
      <c r="K154" s="27"/>
      <c r="L154" s="27"/>
      <c r="M154" s="27"/>
      <c r="N154" s="27"/>
      <c r="O154" s="27"/>
      <c r="P154" s="27"/>
      <c r="Q154" s="27"/>
      <c r="R154" s="27"/>
      <c r="S154" s="27"/>
      <c r="T154" s="27"/>
      <c r="U154" s="27"/>
      <c r="V154" s="27"/>
      <c r="AN154" s="439"/>
    </row>
    <row r="155" spans="1:42" s="46" customFormat="1" ht="12.75" customHeight="1">
      <c r="A155" s="28"/>
      <c r="B155" s="74"/>
      <c r="C155" s="77"/>
      <c r="D155" s="28"/>
      <c r="E155" s="190"/>
      <c r="F155" s="190"/>
      <c r="G155" s="27"/>
      <c r="H155" s="27"/>
      <c r="I155" s="27"/>
      <c r="J155" s="27"/>
      <c r="K155" s="27"/>
      <c r="L155" s="27"/>
      <c r="M155" s="27"/>
      <c r="N155" s="27"/>
      <c r="O155" s="27"/>
      <c r="P155" s="27"/>
      <c r="Q155" s="27"/>
      <c r="R155" s="27"/>
      <c r="S155" s="27"/>
      <c r="T155" s="27"/>
      <c r="U155" s="27"/>
      <c r="V155" s="27"/>
      <c r="W155" s="27"/>
      <c r="X155" s="27"/>
      <c r="Y155" s="27"/>
      <c r="Z155" s="190"/>
      <c r="AA155" s="190"/>
      <c r="AB155" s="190"/>
      <c r="AJ155" s="27"/>
      <c r="AK155" s="27"/>
      <c r="AL155" s="27"/>
      <c r="AM155" s="27"/>
      <c r="AN155" s="439"/>
    </row>
    <row r="156" spans="1:42" s="137" customFormat="1" ht="12.75" customHeight="1">
      <c r="A156" s="191"/>
      <c r="B156" s="146"/>
      <c r="C156" s="198"/>
      <c r="D156" s="167"/>
      <c r="E156" s="193"/>
      <c r="F156" s="193"/>
      <c r="G156" s="201"/>
      <c r="H156" s="201"/>
      <c r="I156" s="201"/>
      <c r="J156" s="201"/>
      <c r="K156" s="201"/>
      <c r="L156" s="201"/>
      <c r="M156" s="201"/>
      <c r="N156" s="201"/>
      <c r="O156" s="201"/>
      <c r="P156" s="201"/>
      <c r="Q156" s="201"/>
      <c r="R156" s="201"/>
      <c r="S156" s="201"/>
      <c r="T156" s="201"/>
      <c r="U156" s="201"/>
      <c r="V156" s="201"/>
      <c r="W156" s="201"/>
      <c r="X156" s="201"/>
      <c r="Y156" s="193"/>
      <c r="Z156" s="193"/>
      <c r="AA156" s="193"/>
      <c r="AB156" s="167"/>
      <c r="AC156" s="159"/>
      <c r="AD156" s="167"/>
      <c r="AE156" s="167"/>
      <c r="AF156" s="167"/>
      <c r="AG156" s="167"/>
      <c r="AH156" s="167"/>
      <c r="AI156" s="139" t="s">
        <v>712</v>
      </c>
      <c r="AJ156" s="2373">
        <f>VLOOKUP(H154,AT116:AU118,2,FALSE)</f>
        <v>0</v>
      </c>
      <c r="AK156" s="2374"/>
      <c r="AL156" s="25"/>
      <c r="AN156" s="1140"/>
      <c r="AO156" s="137" t="s">
        <v>136</v>
      </c>
      <c r="AP156" s="754">
        <v>0</v>
      </c>
    </row>
    <row r="157" spans="1:42" s="46" customFormat="1" ht="12.75" customHeight="1">
      <c r="A157" s="28"/>
      <c r="B157" s="74"/>
      <c r="C157" s="77"/>
      <c r="AN157" s="439"/>
      <c r="AO157" s="144" t="s">
        <v>641</v>
      </c>
      <c r="AP157" s="46">
        <v>3</v>
      </c>
    </row>
    <row r="158" spans="1:42" s="46" customFormat="1" ht="12.75" customHeight="1">
      <c r="C158" s="48" t="s">
        <v>343</v>
      </c>
      <c r="AN158" s="439"/>
      <c r="AO158" s="144" t="s">
        <v>214</v>
      </c>
      <c r="AP158" s="46">
        <v>2</v>
      </c>
    </row>
    <row r="159" spans="1:42" s="46" customFormat="1" ht="12.75" customHeight="1">
      <c r="C159" s="48"/>
      <c r="D159" s="479" t="s">
        <v>1243</v>
      </c>
      <c r="AN159" s="439"/>
    </row>
    <row r="160" spans="1:42" s="46" customFormat="1" ht="12.75" customHeight="1">
      <c r="C160" s="48"/>
      <c r="AN160" s="439"/>
    </row>
    <row r="161" spans="1:42" s="46" customFormat="1" ht="12.75" customHeight="1">
      <c r="C161" s="48"/>
      <c r="D161" s="144" t="s">
        <v>641</v>
      </c>
      <c r="E161" s="2340" t="s">
        <v>817</v>
      </c>
      <c r="F161" s="2340"/>
      <c r="G161" s="2340"/>
      <c r="H161" s="2340"/>
      <c r="I161" s="2340"/>
      <c r="J161" s="2340"/>
      <c r="K161" s="2340"/>
      <c r="L161" s="2340"/>
      <c r="M161" s="2340"/>
      <c r="N161" s="2340"/>
      <c r="O161" s="2340"/>
      <c r="P161" s="2340"/>
      <c r="Q161" s="2340"/>
      <c r="R161" s="2340"/>
      <c r="S161" s="2340"/>
      <c r="T161" s="2340"/>
      <c r="U161" s="2340"/>
      <c r="V161" s="2340"/>
      <c r="W161" s="2340"/>
      <c r="X161" s="2340"/>
      <c r="Y161" s="2340"/>
      <c r="Z161" s="2340"/>
      <c r="AA161" s="2340"/>
      <c r="AB161" s="2340"/>
      <c r="AC161" s="2340"/>
      <c r="AF161" s="2378" t="s">
        <v>64</v>
      </c>
      <c r="AG161" s="2378"/>
      <c r="AH161" s="2378"/>
      <c r="AI161" s="2378"/>
      <c r="AJ161" s="2378"/>
      <c r="AK161" s="2378"/>
      <c r="AL161" s="2378"/>
      <c r="AN161" s="439"/>
    </row>
    <row r="162" spans="1:42" s="46" customFormat="1" ht="12.75" customHeight="1">
      <c r="C162" s="48"/>
      <c r="E162" s="2340"/>
      <c r="F162" s="2340"/>
      <c r="G162" s="2340"/>
      <c r="H162" s="2340"/>
      <c r="I162" s="2340"/>
      <c r="J162" s="2340"/>
      <c r="K162" s="2340"/>
      <c r="L162" s="2340"/>
      <c r="M162" s="2340"/>
      <c r="N162" s="2340"/>
      <c r="O162" s="2340"/>
      <c r="P162" s="2340"/>
      <c r="Q162" s="2340"/>
      <c r="R162" s="2340"/>
      <c r="S162" s="2340"/>
      <c r="T162" s="2340"/>
      <c r="U162" s="2340"/>
      <c r="V162" s="2340"/>
      <c r="W162" s="2340"/>
      <c r="X162" s="2340"/>
      <c r="Y162" s="2340"/>
      <c r="Z162" s="2340"/>
      <c r="AA162" s="2340"/>
      <c r="AB162" s="2340"/>
      <c r="AC162" s="2340"/>
      <c r="AN162" s="439"/>
    </row>
    <row r="163" spans="1:42" s="46" customFormat="1" ht="12.75" customHeight="1">
      <c r="C163" s="48"/>
      <c r="D163" s="144"/>
      <c r="E163" s="2340"/>
      <c r="F163" s="2340"/>
      <c r="G163" s="2340"/>
      <c r="H163" s="2340"/>
      <c r="I163" s="2340"/>
      <c r="J163" s="2340"/>
      <c r="K163" s="2340"/>
      <c r="L163" s="2340"/>
      <c r="M163" s="2340"/>
      <c r="N163" s="2340"/>
      <c r="O163" s="2340"/>
      <c r="P163" s="2340"/>
      <c r="Q163" s="2340"/>
      <c r="R163" s="2340"/>
      <c r="S163" s="2340"/>
      <c r="T163" s="2340"/>
      <c r="U163" s="2340"/>
      <c r="V163" s="2340"/>
      <c r="W163" s="2340"/>
      <c r="X163" s="2340"/>
      <c r="Y163" s="2340"/>
      <c r="Z163" s="2340"/>
      <c r="AA163" s="2340"/>
      <c r="AB163" s="2340"/>
      <c r="AC163" s="2340"/>
      <c r="AN163" s="439"/>
    </row>
    <row r="164" spans="1:42" s="46" customFormat="1" ht="15" customHeight="1">
      <c r="C164" s="48"/>
      <c r="E164" s="542"/>
      <c r="F164" s="542"/>
      <c r="G164" s="542"/>
      <c r="H164" s="542"/>
      <c r="I164" s="542"/>
      <c r="J164" s="542"/>
      <c r="K164" s="542"/>
      <c r="L164" s="542"/>
      <c r="M164" s="542"/>
      <c r="N164" s="542"/>
      <c r="O164" s="542"/>
      <c r="P164" s="542"/>
      <c r="Q164" s="542"/>
      <c r="R164" s="542"/>
      <c r="S164" s="542"/>
      <c r="T164" s="542"/>
      <c r="U164" s="542"/>
      <c r="V164" s="542"/>
      <c r="W164" s="542"/>
      <c r="X164" s="542"/>
      <c r="Y164" s="542"/>
      <c r="Z164" s="542"/>
      <c r="AA164" s="542"/>
      <c r="AB164" s="542"/>
      <c r="AN164" s="439"/>
    </row>
    <row r="165" spans="1:42" s="46" customFormat="1" ht="12.75" customHeight="1">
      <c r="C165" s="48"/>
      <c r="D165" s="144" t="s">
        <v>214</v>
      </c>
      <c r="E165" s="2340" t="s">
        <v>1934</v>
      </c>
      <c r="F165" s="2340"/>
      <c r="G165" s="2340"/>
      <c r="H165" s="2340"/>
      <c r="I165" s="2340"/>
      <c r="J165" s="2340"/>
      <c r="K165" s="2340"/>
      <c r="L165" s="2340"/>
      <c r="M165" s="2340"/>
      <c r="N165" s="2340"/>
      <c r="O165" s="2340"/>
      <c r="P165" s="2340"/>
      <c r="Q165" s="2340"/>
      <c r="R165" s="2340"/>
      <c r="S165" s="2340"/>
      <c r="T165" s="2340"/>
      <c r="U165" s="2340"/>
      <c r="V165" s="2340"/>
      <c r="W165" s="2340"/>
      <c r="X165" s="2340"/>
      <c r="Y165" s="2340"/>
      <c r="Z165" s="2340"/>
      <c r="AA165" s="2340"/>
      <c r="AB165" s="2340"/>
      <c r="AC165" s="2340"/>
      <c r="AF165" s="2378" t="s">
        <v>65</v>
      </c>
      <c r="AG165" s="2378"/>
      <c r="AH165" s="2378"/>
      <c r="AI165" s="2378"/>
      <c r="AJ165" s="2378"/>
      <c r="AK165" s="2378"/>
      <c r="AL165" s="2378"/>
      <c r="AN165" s="439"/>
    </row>
    <row r="166" spans="1:42" s="46" customFormat="1" ht="12.75" customHeight="1">
      <c r="C166" s="48"/>
      <c r="E166" s="2340"/>
      <c r="F166" s="2340"/>
      <c r="G166" s="2340"/>
      <c r="H166" s="2340"/>
      <c r="I166" s="2340"/>
      <c r="J166" s="2340"/>
      <c r="K166" s="2340"/>
      <c r="L166" s="2340"/>
      <c r="M166" s="2340"/>
      <c r="N166" s="2340"/>
      <c r="O166" s="2340"/>
      <c r="P166" s="2340"/>
      <c r="Q166" s="2340"/>
      <c r="R166" s="2340"/>
      <c r="S166" s="2340"/>
      <c r="T166" s="2340"/>
      <c r="U166" s="2340"/>
      <c r="V166" s="2340"/>
      <c r="W166" s="2340"/>
      <c r="X166" s="2340"/>
      <c r="Y166" s="2340"/>
      <c r="Z166" s="2340"/>
      <c r="AA166" s="2340"/>
      <c r="AB166" s="2340"/>
      <c r="AC166" s="2340"/>
      <c r="AN166" s="439"/>
    </row>
    <row r="167" spans="1:42" s="46" customFormat="1" ht="15" customHeight="1">
      <c r="C167" s="48"/>
      <c r="D167" s="144"/>
      <c r="E167" s="2340"/>
      <c r="F167" s="2340"/>
      <c r="G167" s="2340"/>
      <c r="H167" s="2340"/>
      <c r="I167" s="2340"/>
      <c r="J167" s="2340"/>
      <c r="K167" s="2340"/>
      <c r="L167" s="2340"/>
      <c r="M167" s="2340"/>
      <c r="N167" s="2340"/>
      <c r="O167" s="2340"/>
      <c r="P167" s="2340"/>
      <c r="Q167" s="2340"/>
      <c r="R167" s="2340"/>
      <c r="S167" s="2340"/>
      <c r="T167" s="2340"/>
      <c r="U167" s="2340"/>
      <c r="V167" s="2340"/>
      <c r="W167" s="2340"/>
      <c r="X167" s="2340"/>
      <c r="Y167" s="2340"/>
      <c r="Z167" s="2340"/>
      <c r="AA167" s="2340"/>
      <c r="AB167" s="2340"/>
      <c r="AC167" s="2340"/>
      <c r="AN167" s="439"/>
    </row>
    <row r="168" spans="1:42" s="137" customFormat="1" ht="12.75" customHeight="1">
      <c r="A168" s="46"/>
      <c r="B168" s="46"/>
      <c r="C168" s="48"/>
      <c r="D168" s="46"/>
      <c r="E168" s="542"/>
      <c r="F168" s="542"/>
      <c r="G168" s="542"/>
      <c r="H168" s="542"/>
      <c r="I168" s="542"/>
      <c r="J168" s="542"/>
      <c r="K168" s="542"/>
      <c r="L168" s="542"/>
      <c r="M168" s="542"/>
      <c r="N168" s="542"/>
      <c r="O168" s="542"/>
      <c r="P168" s="542"/>
      <c r="Q168" s="542"/>
      <c r="R168" s="542"/>
      <c r="S168" s="542"/>
      <c r="T168" s="542"/>
      <c r="U168" s="542"/>
      <c r="V168" s="542"/>
      <c r="W168" s="542"/>
      <c r="X168" s="542"/>
      <c r="Y168" s="542"/>
      <c r="Z168" s="542"/>
      <c r="AA168" s="542"/>
      <c r="AB168" s="542"/>
      <c r="AC168" s="46"/>
      <c r="AD168" s="46"/>
      <c r="AE168" s="46"/>
      <c r="AM168" s="46"/>
      <c r="AN168" s="1140"/>
    </row>
    <row r="169" spans="1:42" s="46" customFormat="1" ht="12.75" customHeight="1">
      <c r="C169" s="48"/>
      <c r="D169" s="144" t="s">
        <v>992</v>
      </c>
      <c r="E169" s="2340" t="s">
        <v>1935</v>
      </c>
      <c r="F169" s="2340"/>
      <c r="G169" s="2340"/>
      <c r="H169" s="2340"/>
      <c r="I169" s="2340"/>
      <c r="J169" s="2340"/>
      <c r="K169" s="2340"/>
      <c r="L169" s="2340"/>
      <c r="M169" s="2340"/>
      <c r="N169" s="2340"/>
      <c r="O169" s="2340"/>
      <c r="P169" s="2340"/>
      <c r="Q169" s="2340"/>
      <c r="R169" s="2340"/>
      <c r="S169" s="2340"/>
      <c r="T169" s="2340"/>
      <c r="U169" s="2340"/>
      <c r="V169" s="2340"/>
      <c r="W169" s="2340"/>
      <c r="X169" s="2340"/>
      <c r="Y169" s="2340"/>
      <c r="Z169" s="2340"/>
      <c r="AA169" s="2340"/>
      <c r="AB169" s="2340"/>
      <c r="AC169" s="2340"/>
      <c r="AF169" s="2378" t="s">
        <v>66</v>
      </c>
      <c r="AG169" s="2378"/>
      <c r="AH169" s="2378"/>
      <c r="AI169" s="2378"/>
      <c r="AJ169" s="2378"/>
      <c r="AK169" s="2378"/>
      <c r="AL169" s="2378"/>
      <c r="AN169" s="439"/>
    </row>
    <row r="170" spans="1:42" s="46" customFormat="1" ht="12.75" customHeight="1">
      <c r="A170" s="28"/>
      <c r="B170" s="161"/>
      <c r="C170" s="188"/>
      <c r="E170" s="2340"/>
      <c r="F170" s="2340"/>
      <c r="G170" s="2340"/>
      <c r="H170" s="2340"/>
      <c r="I170" s="2340"/>
      <c r="J170" s="2340"/>
      <c r="K170" s="2340"/>
      <c r="L170" s="2340"/>
      <c r="M170" s="2340"/>
      <c r="N170" s="2340"/>
      <c r="O170" s="2340"/>
      <c r="P170" s="2340"/>
      <c r="Q170" s="2340"/>
      <c r="R170" s="2340"/>
      <c r="S170" s="2340"/>
      <c r="T170" s="2340"/>
      <c r="U170" s="2340"/>
      <c r="V170" s="2340"/>
      <c r="W170" s="2340"/>
      <c r="X170" s="2340"/>
      <c r="Y170" s="2340"/>
      <c r="Z170" s="2340"/>
      <c r="AA170" s="2340"/>
      <c r="AB170" s="2340"/>
      <c r="AC170" s="2340"/>
      <c r="AE170" s="2378"/>
      <c r="AF170" s="2378"/>
      <c r="AG170" s="2378"/>
      <c r="AH170" s="2378"/>
      <c r="AI170" s="2378"/>
      <c r="AJ170" s="2378"/>
      <c r="AK170" s="2378"/>
      <c r="AL170" s="1304"/>
      <c r="AM170" s="153"/>
      <c r="AN170" s="439"/>
      <c r="AO170" s="46" t="s">
        <v>136</v>
      </c>
      <c r="AP170" s="753">
        <v>0</v>
      </c>
    </row>
    <row r="171" spans="1:42" s="46" customFormat="1" ht="12.75" customHeight="1">
      <c r="A171" s="195"/>
      <c r="D171" s="144"/>
      <c r="E171" s="2340"/>
      <c r="F171" s="2340"/>
      <c r="G171" s="2340"/>
      <c r="H171" s="2340"/>
      <c r="I171" s="2340"/>
      <c r="J171" s="2340"/>
      <c r="K171" s="2340"/>
      <c r="L171" s="2340"/>
      <c r="M171" s="2340"/>
      <c r="N171" s="2340"/>
      <c r="O171" s="2340"/>
      <c r="P171" s="2340"/>
      <c r="Q171" s="2340"/>
      <c r="R171" s="2340"/>
      <c r="S171" s="2340"/>
      <c r="T171" s="2340"/>
      <c r="U171" s="2340"/>
      <c r="V171" s="2340"/>
      <c r="W171" s="2340"/>
      <c r="X171" s="2340"/>
      <c r="Y171" s="2340"/>
      <c r="Z171" s="2340"/>
      <c r="AA171" s="2340"/>
      <c r="AB171" s="2340"/>
      <c r="AC171" s="2340"/>
      <c r="AF171" s="8"/>
      <c r="AG171" s="153"/>
      <c r="AH171" s="153"/>
      <c r="AI171" s="153"/>
      <c r="AJ171" s="153"/>
      <c r="AK171" s="153"/>
      <c r="AL171" s="153"/>
      <c r="AM171" s="153"/>
      <c r="AN171" s="439"/>
      <c r="AO171" s="144" t="s">
        <v>641</v>
      </c>
      <c r="AP171" s="46">
        <v>3</v>
      </c>
    </row>
    <row r="172" spans="1:42" s="46" customFormat="1" ht="12.75" customHeight="1">
      <c r="A172" s="28"/>
      <c r="B172" s="161"/>
      <c r="C172" s="188"/>
      <c r="D172" s="144"/>
      <c r="E172" s="540"/>
      <c r="F172" s="540"/>
      <c r="G172" s="540"/>
      <c r="H172" s="540"/>
      <c r="I172" s="540"/>
      <c r="J172" s="540"/>
      <c r="K172" s="540"/>
      <c r="L172" s="540"/>
      <c r="M172" s="540"/>
      <c r="N172" s="540"/>
      <c r="O172" s="540"/>
      <c r="P172" s="540"/>
      <c r="Q172" s="540"/>
      <c r="R172" s="540"/>
      <c r="S172" s="540"/>
      <c r="T172" s="540"/>
      <c r="U172" s="540"/>
      <c r="V172" s="540"/>
      <c r="W172" s="540"/>
      <c r="X172" s="540"/>
      <c r="Y172" s="540"/>
      <c r="Z172" s="540"/>
      <c r="AA172" s="540"/>
      <c r="AB172" s="540"/>
      <c r="AE172" s="153"/>
      <c r="AN172" s="439"/>
      <c r="AO172" s="144" t="s">
        <v>214</v>
      </c>
      <c r="AP172" s="46">
        <v>2</v>
      </c>
    </row>
    <row r="173" spans="1:42" s="46" customFormat="1" ht="12.75" customHeight="1">
      <c r="A173" s="183"/>
      <c r="B173" s="161"/>
      <c r="C173" s="202"/>
      <c r="D173" s="144" t="s">
        <v>798</v>
      </c>
      <c r="E173" s="2340" t="s">
        <v>1936</v>
      </c>
      <c r="F173" s="2340"/>
      <c r="G173" s="2340"/>
      <c r="H173" s="2340"/>
      <c r="I173" s="2340"/>
      <c r="J173" s="2340"/>
      <c r="K173" s="2340"/>
      <c r="L173" s="2340"/>
      <c r="M173" s="2340"/>
      <c r="N173" s="2340"/>
      <c r="O173" s="2340"/>
      <c r="P173" s="2340"/>
      <c r="Q173" s="2340"/>
      <c r="R173" s="2340"/>
      <c r="S173" s="2340"/>
      <c r="T173" s="2340"/>
      <c r="U173" s="2340"/>
      <c r="V173" s="2340"/>
      <c r="W173" s="2340"/>
      <c r="X173" s="2340"/>
      <c r="Y173" s="2340"/>
      <c r="Z173" s="2340"/>
      <c r="AA173" s="2340"/>
      <c r="AB173" s="2340"/>
      <c r="AC173" s="2340"/>
      <c r="AF173" s="2378" t="s">
        <v>65</v>
      </c>
      <c r="AG173" s="2378"/>
      <c r="AH173" s="2378"/>
      <c r="AI173" s="2378"/>
      <c r="AJ173" s="2378"/>
      <c r="AK173" s="2378"/>
      <c r="AL173" s="2378"/>
      <c r="AN173" s="439"/>
    </row>
    <row r="174" spans="1:42" s="46" customFormat="1" ht="12.75" customHeight="1">
      <c r="A174" s="183"/>
      <c r="B174" s="161"/>
      <c r="C174" s="202"/>
      <c r="D174" s="144"/>
      <c r="E174" s="2340"/>
      <c r="F174" s="2340"/>
      <c r="G174" s="2340"/>
      <c r="H174" s="2340"/>
      <c r="I174" s="2340"/>
      <c r="J174" s="2340"/>
      <c r="K174" s="2340"/>
      <c r="L174" s="2340"/>
      <c r="M174" s="2340"/>
      <c r="N174" s="2340"/>
      <c r="O174" s="2340"/>
      <c r="P174" s="2340"/>
      <c r="Q174" s="2340"/>
      <c r="R174" s="2340"/>
      <c r="S174" s="2340"/>
      <c r="T174" s="2340"/>
      <c r="U174" s="2340"/>
      <c r="V174" s="2340"/>
      <c r="W174" s="2340"/>
      <c r="X174" s="2340"/>
      <c r="Y174" s="2340"/>
      <c r="Z174" s="2340"/>
      <c r="AA174" s="2340"/>
      <c r="AB174" s="2340"/>
      <c r="AC174" s="2340"/>
      <c r="AE174" s="179"/>
      <c r="AF174" s="179"/>
      <c r="AG174" s="179"/>
      <c r="AH174" s="179"/>
      <c r="AI174" s="179"/>
      <c r="AJ174" s="179"/>
      <c r="AK174" s="179"/>
      <c r="AL174" s="1304"/>
      <c r="AM174" s="203"/>
      <c r="AN174" s="439"/>
    </row>
    <row r="175" spans="1:42" s="46" customFormat="1" ht="12.75" customHeight="1">
      <c r="A175" s="183"/>
      <c r="B175" s="161"/>
      <c r="C175" s="202"/>
      <c r="D175" s="144"/>
      <c r="E175" s="2340"/>
      <c r="F175" s="2340"/>
      <c r="G175" s="2340"/>
      <c r="H175" s="2340"/>
      <c r="I175" s="2340"/>
      <c r="J175" s="2340"/>
      <c r="K175" s="2340"/>
      <c r="L175" s="2340"/>
      <c r="M175" s="2340"/>
      <c r="N175" s="2340"/>
      <c r="O175" s="2340"/>
      <c r="P175" s="2340"/>
      <c r="Q175" s="2340"/>
      <c r="R175" s="2340"/>
      <c r="S175" s="2340"/>
      <c r="T175" s="2340"/>
      <c r="U175" s="2340"/>
      <c r="V175" s="2340"/>
      <c r="W175" s="2340"/>
      <c r="X175" s="2340"/>
      <c r="Y175" s="2340"/>
      <c r="Z175" s="2340"/>
      <c r="AA175" s="2340"/>
      <c r="AB175" s="2340"/>
      <c r="AC175" s="2340"/>
      <c r="AE175" s="179"/>
      <c r="AF175" s="179"/>
      <c r="AG175" s="179"/>
      <c r="AH175" s="179"/>
      <c r="AI175" s="179"/>
      <c r="AJ175" s="179"/>
      <c r="AK175" s="179"/>
      <c r="AL175" s="1304"/>
      <c r="AM175" s="203"/>
      <c r="AN175" s="439"/>
    </row>
    <row r="176" spans="1:42" s="46" customFormat="1" ht="12.75" customHeight="1">
      <c r="A176" s="28"/>
      <c r="B176" s="74"/>
      <c r="C176" s="77"/>
      <c r="D176" s="144"/>
      <c r="E176" s="163"/>
      <c r="F176" s="163"/>
      <c r="G176" s="163"/>
      <c r="H176" s="163"/>
      <c r="I176" s="163"/>
      <c r="J176" s="163"/>
      <c r="K176" s="163"/>
      <c r="L176" s="163"/>
      <c r="M176" s="163"/>
      <c r="N176" s="163"/>
      <c r="O176" s="163"/>
      <c r="P176" s="163"/>
      <c r="Q176" s="163"/>
      <c r="R176" s="163"/>
      <c r="S176" s="163"/>
      <c r="T176" s="163"/>
      <c r="U176" s="163"/>
      <c r="V176" s="163"/>
      <c r="W176" s="163"/>
      <c r="X176" s="163"/>
      <c r="Y176" s="163"/>
      <c r="Z176" s="163"/>
      <c r="AA176" s="163"/>
      <c r="AB176" s="163"/>
      <c r="AC176" s="205"/>
      <c r="AD176" s="205"/>
      <c r="AL176" s="1304"/>
      <c r="AM176" s="203"/>
      <c r="AN176" s="439"/>
    </row>
    <row r="177" spans="1:42" s="46" customFormat="1" ht="12.75" customHeight="1">
      <c r="A177" s="28"/>
      <c r="B177" s="161"/>
      <c r="C177" s="188"/>
      <c r="D177" s="144" t="s">
        <v>799</v>
      </c>
      <c r="E177" s="2340" t="s">
        <v>1937</v>
      </c>
      <c r="F177" s="2340"/>
      <c r="G177" s="2340"/>
      <c r="H177" s="2340"/>
      <c r="I177" s="2340"/>
      <c r="J177" s="2340"/>
      <c r="K177" s="2340"/>
      <c r="L177" s="2340"/>
      <c r="M177" s="2340"/>
      <c r="N177" s="2340"/>
      <c r="O177" s="2340"/>
      <c r="P177" s="2340"/>
      <c r="Q177" s="2340"/>
      <c r="R177" s="2340"/>
      <c r="S177" s="2340"/>
      <c r="T177" s="2340"/>
      <c r="U177" s="2340"/>
      <c r="V177" s="2340"/>
      <c r="W177" s="2340"/>
      <c r="X177" s="2340"/>
      <c r="Y177" s="2340"/>
      <c r="Z177" s="2340"/>
      <c r="AA177" s="2340"/>
      <c r="AB177" s="2340"/>
      <c r="AC177" s="2340"/>
      <c r="AF177" s="2378" t="s">
        <v>66</v>
      </c>
      <c r="AG177" s="2378"/>
      <c r="AH177" s="2378"/>
      <c r="AI177" s="2378"/>
      <c r="AJ177" s="2378"/>
      <c r="AK177" s="2378"/>
      <c r="AL177" s="2378"/>
      <c r="AM177" s="203"/>
      <c r="AN177" s="439"/>
    </row>
    <row r="178" spans="1:42" s="46" customFormat="1" ht="12.75" customHeight="1">
      <c r="A178" s="28"/>
      <c r="B178" s="161"/>
      <c r="C178" s="188"/>
      <c r="D178" s="144"/>
      <c r="E178" s="2340"/>
      <c r="F178" s="2340"/>
      <c r="G178" s="2340"/>
      <c r="H178" s="2340"/>
      <c r="I178" s="2340"/>
      <c r="J178" s="2340"/>
      <c r="K178" s="2340"/>
      <c r="L178" s="2340"/>
      <c r="M178" s="2340"/>
      <c r="N178" s="2340"/>
      <c r="O178" s="2340"/>
      <c r="P178" s="2340"/>
      <c r="Q178" s="2340"/>
      <c r="R178" s="2340"/>
      <c r="S178" s="2340"/>
      <c r="T178" s="2340"/>
      <c r="U178" s="2340"/>
      <c r="V178" s="2340"/>
      <c r="W178" s="2340"/>
      <c r="X178" s="2340"/>
      <c r="Y178" s="2340"/>
      <c r="Z178" s="2340"/>
      <c r="AA178" s="2340"/>
      <c r="AB178" s="2340"/>
      <c r="AC178" s="2340"/>
      <c r="AE178" s="153"/>
      <c r="AF178" s="74"/>
      <c r="AH178" s="153"/>
      <c r="AI178" s="153"/>
      <c r="AJ178" s="153"/>
      <c r="AK178" s="153"/>
      <c r="AL178" s="153"/>
      <c r="AM178" s="203"/>
      <c r="AN178" s="439"/>
    </row>
    <row r="179" spans="1:42" s="46" customFormat="1" ht="12.75" customHeight="1">
      <c r="A179" s="28"/>
      <c r="B179" s="161"/>
      <c r="C179" s="188"/>
      <c r="D179" s="144"/>
      <c r="E179" s="2340"/>
      <c r="F179" s="2340"/>
      <c r="G179" s="2340"/>
      <c r="H179" s="2340"/>
      <c r="I179" s="2340"/>
      <c r="J179" s="2340"/>
      <c r="K179" s="2340"/>
      <c r="L179" s="2340"/>
      <c r="M179" s="2340"/>
      <c r="N179" s="2340"/>
      <c r="O179" s="2340"/>
      <c r="P179" s="2340"/>
      <c r="Q179" s="2340"/>
      <c r="R179" s="2340"/>
      <c r="S179" s="2340"/>
      <c r="T179" s="2340"/>
      <c r="U179" s="2340"/>
      <c r="V179" s="2340"/>
      <c r="W179" s="2340"/>
      <c r="X179" s="2340"/>
      <c r="Y179" s="2340"/>
      <c r="Z179" s="2340"/>
      <c r="AA179" s="2340"/>
      <c r="AB179" s="2340"/>
      <c r="AC179" s="2340"/>
      <c r="AE179" s="153"/>
      <c r="AF179" s="74"/>
      <c r="AH179" s="153"/>
      <c r="AI179" s="153"/>
      <c r="AJ179" s="153"/>
      <c r="AK179" s="153"/>
      <c r="AL179" s="153"/>
      <c r="AM179" s="203"/>
      <c r="AN179" s="439"/>
    </row>
    <row r="180" spans="1:42" s="137" customFormat="1" ht="12.75" customHeight="1">
      <c r="A180" s="28"/>
      <c r="B180" s="8"/>
      <c r="C180" s="204"/>
      <c r="D180" s="144"/>
      <c r="E180" s="46"/>
      <c r="F180" s="46"/>
      <c r="G180" s="46"/>
      <c r="H180" s="46"/>
      <c r="I180" s="46"/>
      <c r="J180" s="46"/>
      <c r="K180" s="46"/>
      <c r="L180" s="46"/>
      <c r="M180" s="46"/>
      <c r="N180" s="46"/>
      <c r="O180" s="46"/>
      <c r="P180" s="46"/>
      <c r="Q180" s="46"/>
      <c r="R180" s="46"/>
      <c r="S180" s="46"/>
      <c r="T180" s="46"/>
      <c r="U180" s="46"/>
      <c r="V180" s="46"/>
      <c r="W180" s="46"/>
      <c r="X180" s="46"/>
      <c r="Y180" s="46"/>
      <c r="Z180" s="46"/>
      <c r="AA180" s="46"/>
      <c r="AB180" s="46"/>
      <c r="AC180" s="46"/>
      <c r="AD180" s="46"/>
      <c r="AE180" s="46"/>
      <c r="AM180" s="203"/>
      <c r="AN180" s="1140"/>
    </row>
    <row r="181" spans="1:42" s="46" customFormat="1" ht="12.75" customHeight="1">
      <c r="A181" s="195"/>
      <c r="B181" s="74"/>
      <c r="C181" s="77"/>
      <c r="D181" s="144" t="s">
        <v>308</v>
      </c>
      <c r="E181" s="2340" t="s">
        <v>1653</v>
      </c>
      <c r="F181" s="2340"/>
      <c r="G181" s="2340"/>
      <c r="H181" s="2340"/>
      <c r="I181" s="2340"/>
      <c r="J181" s="2340"/>
      <c r="K181" s="2340"/>
      <c r="L181" s="2340"/>
      <c r="M181" s="2340"/>
      <c r="N181" s="2340"/>
      <c r="O181" s="2340"/>
      <c r="P181" s="2340"/>
      <c r="Q181" s="2340"/>
      <c r="R181" s="2340"/>
      <c r="S181" s="2340"/>
      <c r="T181" s="2340"/>
      <c r="U181" s="2340"/>
      <c r="V181" s="2340"/>
      <c r="W181" s="2340"/>
      <c r="X181" s="2340"/>
      <c r="Y181" s="2340"/>
      <c r="Z181" s="2340"/>
      <c r="AA181" s="2340"/>
      <c r="AB181" s="2340"/>
      <c r="AC181" s="2340"/>
      <c r="AF181" s="2378" t="s">
        <v>114</v>
      </c>
      <c r="AG181" s="2378"/>
      <c r="AH181" s="2378"/>
      <c r="AI181" s="2378"/>
      <c r="AJ181" s="2378"/>
      <c r="AK181" s="2378"/>
      <c r="AL181" s="2378"/>
      <c r="AM181" s="203"/>
      <c r="AN181" s="439"/>
    </row>
    <row r="182" spans="1:42" s="46" customFormat="1" ht="23.1" customHeight="1">
      <c r="A182" s="195"/>
      <c r="B182" s="74"/>
      <c r="C182" s="77"/>
      <c r="D182" s="144"/>
      <c r="E182" s="2340"/>
      <c r="F182" s="2340"/>
      <c r="G182" s="2340"/>
      <c r="H182" s="2340"/>
      <c r="I182" s="2340"/>
      <c r="J182" s="2340"/>
      <c r="K182" s="2340"/>
      <c r="L182" s="2340"/>
      <c r="M182" s="2340"/>
      <c r="N182" s="2340"/>
      <c r="O182" s="2340"/>
      <c r="P182" s="2340"/>
      <c r="Q182" s="2340"/>
      <c r="R182" s="2340"/>
      <c r="S182" s="2340"/>
      <c r="T182" s="2340"/>
      <c r="U182" s="2340"/>
      <c r="V182" s="2340"/>
      <c r="W182" s="2340"/>
      <c r="X182" s="2340"/>
      <c r="Y182" s="2340"/>
      <c r="Z182" s="2340"/>
      <c r="AA182" s="2340"/>
      <c r="AB182" s="2340"/>
      <c r="AC182" s="2340"/>
      <c r="AE182" s="179"/>
      <c r="AF182" s="179"/>
      <c r="AG182" s="179"/>
      <c r="AH182" s="179"/>
      <c r="AI182" s="179"/>
      <c r="AJ182" s="179"/>
      <c r="AK182" s="179"/>
      <c r="AL182" s="1304"/>
      <c r="AM182" s="203"/>
      <c r="AN182" s="439"/>
    </row>
    <row r="183" spans="1:42" s="46" customFormat="1" ht="12.75" customHeight="1">
      <c r="A183" s="195"/>
      <c r="B183" s="74"/>
      <c r="C183" s="77"/>
      <c r="D183" s="144"/>
      <c r="E183" s="163"/>
      <c r="F183" s="163"/>
      <c r="G183" s="163"/>
      <c r="H183" s="163"/>
      <c r="I183" s="163"/>
      <c r="J183" s="163"/>
      <c r="K183" s="163"/>
      <c r="L183" s="163"/>
      <c r="M183" s="163"/>
      <c r="N183" s="163"/>
      <c r="O183" s="163"/>
      <c r="P183" s="163"/>
      <c r="Q183" s="163"/>
      <c r="R183" s="163"/>
      <c r="S183" s="163"/>
      <c r="T183" s="163"/>
      <c r="U183" s="163"/>
      <c r="V183" s="163"/>
      <c r="W183" s="163"/>
      <c r="X183" s="163"/>
      <c r="Y183" s="163"/>
      <c r="Z183" s="163"/>
      <c r="AA183" s="163"/>
      <c r="AB183" s="163"/>
      <c r="AC183" s="163"/>
      <c r="AE183" s="179"/>
      <c r="AM183" s="203"/>
      <c r="AN183" s="439"/>
      <c r="AO183" s="46" t="s">
        <v>136</v>
      </c>
      <c r="AP183" s="752">
        <v>0</v>
      </c>
    </row>
    <row r="184" spans="1:42" s="46" customFormat="1" ht="12.75" customHeight="1">
      <c r="A184" s="195"/>
      <c r="B184" s="74"/>
      <c r="C184" s="77"/>
      <c r="D184" s="144" t="s">
        <v>309</v>
      </c>
      <c r="E184" s="2340" t="s">
        <v>1654</v>
      </c>
      <c r="F184" s="2340"/>
      <c r="G184" s="2340"/>
      <c r="H184" s="2340"/>
      <c r="I184" s="2340"/>
      <c r="J184" s="2340"/>
      <c r="K184" s="2340"/>
      <c r="L184" s="2340"/>
      <c r="M184" s="2340"/>
      <c r="N184" s="2340"/>
      <c r="O184" s="2340"/>
      <c r="P184" s="2340"/>
      <c r="Q184" s="2340"/>
      <c r="R184" s="2340"/>
      <c r="S184" s="2340"/>
      <c r="T184" s="2340"/>
      <c r="U184" s="2340"/>
      <c r="V184" s="2340"/>
      <c r="W184" s="2340"/>
      <c r="X184" s="2340"/>
      <c r="Y184" s="2340"/>
      <c r="Z184" s="2340"/>
      <c r="AA184" s="2340"/>
      <c r="AB184" s="2340"/>
      <c r="AC184" s="2340"/>
      <c r="AF184" s="2378" t="s">
        <v>354</v>
      </c>
      <c r="AG184" s="2378"/>
      <c r="AH184" s="2378"/>
      <c r="AI184" s="2378"/>
      <c r="AJ184" s="2378"/>
      <c r="AK184" s="2378"/>
      <c r="AL184" s="2378"/>
      <c r="AM184" s="203"/>
      <c r="AN184" s="439"/>
      <c r="AO184" s="144" t="s">
        <v>641</v>
      </c>
      <c r="AP184" s="46">
        <v>3</v>
      </c>
    </row>
    <row r="185" spans="1:42" s="46" customFormat="1" ht="23.1" customHeight="1">
      <c r="A185" s="195"/>
      <c r="B185" s="74"/>
      <c r="C185" s="77"/>
      <c r="D185" s="144"/>
      <c r="E185" s="2340"/>
      <c r="F185" s="2340"/>
      <c r="G185" s="2340"/>
      <c r="H185" s="2340"/>
      <c r="I185" s="2340"/>
      <c r="J185" s="2340"/>
      <c r="K185" s="2340"/>
      <c r="L185" s="2340"/>
      <c r="M185" s="2340"/>
      <c r="N185" s="2340"/>
      <c r="O185" s="2340"/>
      <c r="P185" s="2340"/>
      <c r="Q185" s="2340"/>
      <c r="R185" s="2340"/>
      <c r="S185" s="2340"/>
      <c r="T185" s="2340"/>
      <c r="U185" s="2340"/>
      <c r="V185" s="2340"/>
      <c r="W185" s="2340"/>
      <c r="X185" s="2340"/>
      <c r="Y185" s="2340"/>
      <c r="Z185" s="2340"/>
      <c r="AA185" s="2340"/>
      <c r="AB185" s="2340"/>
      <c r="AC185" s="2340"/>
      <c r="AE185" s="179"/>
      <c r="AF185" s="179"/>
      <c r="AG185" s="179"/>
      <c r="AH185" s="179"/>
      <c r="AI185" s="179"/>
      <c r="AJ185" s="179"/>
      <c r="AK185" s="179"/>
      <c r="AL185" s="1304"/>
      <c r="AM185" s="203"/>
      <c r="AN185" s="439"/>
      <c r="AO185" s="144" t="s">
        <v>214</v>
      </c>
      <c r="AP185" s="37">
        <v>2</v>
      </c>
    </row>
    <row r="186" spans="1:42" s="46" customFormat="1" ht="12.75" customHeight="1">
      <c r="A186" s="183"/>
      <c r="B186" s="161"/>
      <c r="C186" s="202"/>
      <c r="D186" s="144"/>
      <c r="E186" s="174"/>
      <c r="F186" s="174"/>
      <c r="G186" s="174"/>
      <c r="H186" s="174"/>
      <c r="I186" s="174"/>
      <c r="J186" s="174"/>
      <c r="K186" s="174"/>
      <c r="L186" s="174"/>
      <c r="M186" s="174"/>
      <c r="N186" s="174"/>
      <c r="O186" s="174"/>
      <c r="P186" s="174"/>
      <c r="Q186" s="174"/>
      <c r="R186" s="174"/>
      <c r="S186" s="174"/>
      <c r="T186" s="174"/>
      <c r="U186" s="174"/>
      <c r="V186" s="174"/>
      <c r="W186" s="174"/>
      <c r="X186" s="174"/>
      <c r="Y186" s="174"/>
      <c r="Z186" s="174"/>
      <c r="AA186" s="174"/>
      <c r="AB186" s="174"/>
      <c r="AC186" s="174"/>
      <c r="AE186" s="179"/>
      <c r="AF186" s="179"/>
      <c r="AG186" s="179"/>
      <c r="AH186" s="179"/>
      <c r="AI186" s="179"/>
      <c r="AJ186" s="179"/>
      <c r="AK186" s="179"/>
      <c r="AL186" s="1304"/>
      <c r="AM186" s="203"/>
      <c r="AN186" s="439"/>
    </row>
    <row r="187" spans="1:42" s="46" customFormat="1" ht="12.75" customHeight="1">
      <c r="A187" s="195"/>
      <c r="B187" s="74"/>
      <c r="C187" s="77"/>
      <c r="D187" s="28" t="s">
        <v>163</v>
      </c>
      <c r="E187" s="190"/>
      <c r="F187" s="190"/>
      <c r="G187" s="190"/>
      <c r="H187" s="2388" t="s">
        <v>641</v>
      </c>
      <c r="I187" s="2388"/>
      <c r="J187" s="27"/>
      <c r="K187" s="27"/>
      <c r="AN187" s="439"/>
    </row>
    <row r="188" spans="1:42" s="46" customFormat="1" ht="12.75" customHeight="1">
      <c r="A188" s="195"/>
      <c r="B188" s="74"/>
      <c r="C188" s="77"/>
      <c r="D188" s="28"/>
      <c r="E188" s="190"/>
      <c r="F188" s="190"/>
      <c r="G188" s="27"/>
      <c r="H188" s="27"/>
      <c r="I188" s="27"/>
      <c r="J188" s="27"/>
      <c r="K188" s="27"/>
      <c r="L188" s="27"/>
      <c r="M188" s="27"/>
      <c r="N188" s="27"/>
      <c r="O188" s="27"/>
      <c r="P188" s="27"/>
      <c r="Q188" s="27"/>
      <c r="R188" s="27"/>
      <c r="S188" s="27"/>
      <c r="T188" s="27"/>
      <c r="U188" s="27"/>
      <c r="V188" s="27"/>
      <c r="W188" s="27"/>
      <c r="X188" s="27"/>
      <c r="Y188" s="27"/>
      <c r="Z188" s="190"/>
      <c r="AA188" s="190"/>
      <c r="AB188" s="190"/>
      <c r="AC188" s="28"/>
      <c r="AD188" s="161"/>
      <c r="AE188" s="28"/>
      <c r="AF188" s="28"/>
      <c r="AG188" s="27"/>
      <c r="AH188" s="27"/>
      <c r="AI188" s="27"/>
      <c r="AJ188" s="27"/>
      <c r="AK188" s="27"/>
      <c r="AL188" s="27"/>
      <c r="AM188" s="27"/>
      <c r="AN188" s="439"/>
    </row>
    <row r="189" spans="1:42" s="46" customFormat="1" ht="12.75" customHeight="1">
      <c r="A189" s="194"/>
      <c r="B189" s="146"/>
      <c r="C189" s="198"/>
      <c r="D189" s="167"/>
      <c r="E189" s="193"/>
      <c r="F189" s="201"/>
      <c r="G189" s="201"/>
      <c r="H189" s="201"/>
      <c r="I189" s="201"/>
      <c r="J189" s="201"/>
      <c r="K189" s="201"/>
      <c r="L189" s="201"/>
      <c r="M189" s="201"/>
      <c r="N189" s="201"/>
      <c r="O189" s="201"/>
      <c r="P189" s="201"/>
      <c r="Q189" s="201"/>
      <c r="R189" s="201"/>
      <c r="S189" s="201"/>
      <c r="T189" s="201"/>
      <c r="U189" s="201"/>
      <c r="V189" s="201"/>
      <c r="W189" s="201"/>
      <c r="X189" s="201"/>
      <c r="Y189" s="193"/>
      <c r="Z189" s="193"/>
      <c r="AA189" s="193"/>
      <c r="AB189" s="167"/>
      <c r="AC189" s="159"/>
      <c r="AD189" s="167"/>
      <c r="AE189" s="167"/>
      <c r="AF189" s="167"/>
      <c r="AG189" s="167"/>
      <c r="AH189" s="167"/>
      <c r="AI189" s="139" t="s">
        <v>771</v>
      </c>
      <c r="AJ189" s="2373">
        <f>VLOOKUP($H$187,$AO$137:$AP$144,2,FALSE)</f>
        <v>5</v>
      </c>
      <c r="AK189" s="2374"/>
      <c r="AL189" s="25"/>
      <c r="AM189" s="137"/>
      <c r="AN189" s="439"/>
    </row>
    <row r="190" spans="1:42" s="46" customFormat="1" ht="12.75" customHeight="1">
      <c r="A190" s="195"/>
      <c r="B190" s="74"/>
      <c r="C190" s="77"/>
      <c r="D190" s="28"/>
      <c r="E190" s="27"/>
      <c r="F190" s="27"/>
      <c r="G190" s="27"/>
      <c r="H190" s="27"/>
      <c r="I190" s="27"/>
      <c r="J190" s="27"/>
      <c r="K190" s="27"/>
      <c r="L190" s="27"/>
      <c r="M190" s="27"/>
      <c r="N190" s="27"/>
      <c r="O190" s="27"/>
      <c r="P190" s="27"/>
      <c r="Q190" s="27"/>
      <c r="R190" s="27"/>
      <c r="S190" s="27"/>
      <c r="T190" s="27"/>
      <c r="U190" s="27"/>
      <c r="V190" s="27"/>
      <c r="W190" s="27"/>
      <c r="X190" s="27"/>
      <c r="Y190" s="27"/>
      <c r="Z190" s="27"/>
      <c r="AA190" s="27"/>
      <c r="AB190" s="27"/>
      <c r="AC190" s="27"/>
      <c r="AD190" s="207"/>
      <c r="AE190" s="153"/>
      <c r="AF190" s="153"/>
      <c r="AG190" s="153"/>
      <c r="AH190" s="153"/>
      <c r="AI190" s="153"/>
      <c r="AJ190" s="162"/>
      <c r="AK190" s="28"/>
      <c r="AL190" s="28"/>
      <c r="AM190" s="28"/>
      <c r="AN190" s="439"/>
    </row>
    <row r="191" spans="1:42" s="46" customFormat="1" ht="12.75" customHeight="1">
      <c r="A191" s="195"/>
      <c r="C191" s="48" t="s">
        <v>1244</v>
      </c>
      <c r="D191" s="208"/>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07"/>
      <c r="AE191" s="153"/>
      <c r="AF191" s="153"/>
      <c r="AG191" s="153"/>
      <c r="AH191" s="153"/>
      <c r="AI191" s="153"/>
      <c r="AJ191" s="162"/>
      <c r="AK191" s="28"/>
      <c r="AL191" s="28"/>
      <c r="AM191" s="28"/>
      <c r="AN191" s="439"/>
    </row>
    <row r="192" spans="1:42" s="46" customFormat="1" ht="12.75" customHeight="1">
      <c r="A192" s="195"/>
      <c r="B192" s="71"/>
      <c r="C192" s="209"/>
      <c r="D192" s="28"/>
      <c r="E192" s="28"/>
      <c r="F192" s="28"/>
      <c r="G192" s="153"/>
      <c r="H192" s="153"/>
      <c r="I192" s="153"/>
      <c r="J192" s="153"/>
      <c r="K192" s="153"/>
      <c r="L192" s="153"/>
      <c r="M192" s="153"/>
      <c r="N192" s="153"/>
      <c r="O192" s="153"/>
      <c r="P192" s="153"/>
      <c r="Q192" s="153"/>
      <c r="R192" s="153"/>
      <c r="S192" s="153"/>
      <c r="T192" s="153"/>
      <c r="U192" s="153"/>
      <c r="V192" s="153"/>
      <c r="W192" s="153"/>
      <c r="X192" s="153"/>
      <c r="Y192" s="153"/>
      <c r="Z192" s="153"/>
      <c r="AA192" s="153"/>
      <c r="AB192" s="153"/>
      <c r="AC192" s="153"/>
      <c r="AD192" s="74"/>
      <c r="AE192" s="153"/>
      <c r="AF192" s="153"/>
      <c r="AG192" s="153"/>
      <c r="AH192" s="153"/>
      <c r="AI192" s="153"/>
      <c r="AK192" s="153"/>
      <c r="AL192" s="153"/>
      <c r="AM192" s="153"/>
      <c r="AN192" s="439"/>
    </row>
    <row r="193" spans="1:42" s="137" customFormat="1" ht="12.75" customHeight="1">
      <c r="A193" s="28"/>
      <c r="B193" s="46"/>
      <c r="C193" s="77"/>
      <c r="D193" s="144" t="s">
        <v>641</v>
      </c>
      <c r="E193" s="2340" t="s">
        <v>2243</v>
      </c>
      <c r="F193" s="2340"/>
      <c r="G193" s="2340"/>
      <c r="H193" s="2340"/>
      <c r="I193" s="2340"/>
      <c r="J193" s="2340"/>
      <c r="K193" s="2340"/>
      <c r="L193" s="2340"/>
      <c r="M193" s="2340"/>
      <c r="N193" s="2340"/>
      <c r="O193" s="2340"/>
      <c r="P193" s="2340"/>
      <c r="Q193" s="2340"/>
      <c r="R193" s="2340"/>
      <c r="S193" s="2340"/>
      <c r="T193" s="2340"/>
      <c r="U193" s="2340"/>
      <c r="V193" s="2340"/>
      <c r="W193" s="2340"/>
      <c r="X193" s="2340"/>
      <c r="Y193" s="2340"/>
      <c r="Z193" s="2340"/>
      <c r="AA193" s="2340"/>
      <c r="AB193" s="2340"/>
      <c r="AC193" s="46"/>
      <c r="AD193" s="46"/>
      <c r="AF193" s="2378" t="s">
        <v>66</v>
      </c>
      <c r="AG193" s="2378"/>
      <c r="AH193" s="2378"/>
      <c r="AI193" s="2378"/>
      <c r="AJ193" s="2378"/>
      <c r="AK193" s="2378"/>
      <c r="AL193" s="2378"/>
      <c r="AM193" s="153"/>
      <c r="AN193" s="1140"/>
    </row>
    <row r="194" spans="1:42" s="137" customFormat="1" ht="12.75" customHeight="1">
      <c r="A194" s="28"/>
      <c r="B194" s="161"/>
      <c r="C194" s="196"/>
      <c r="D194" s="144"/>
      <c r="E194" s="2340"/>
      <c r="F194" s="2340"/>
      <c r="G194" s="2340"/>
      <c r="H194" s="2340"/>
      <c r="I194" s="2340"/>
      <c r="J194" s="2340"/>
      <c r="K194" s="2340"/>
      <c r="L194" s="2340"/>
      <c r="M194" s="2340"/>
      <c r="N194" s="2340"/>
      <c r="O194" s="2340"/>
      <c r="P194" s="2340"/>
      <c r="Q194" s="2340"/>
      <c r="R194" s="2340"/>
      <c r="S194" s="2340"/>
      <c r="T194" s="2340"/>
      <c r="U194" s="2340"/>
      <c r="V194" s="2340"/>
      <c r="W194" s="2340"/>
      <c r="X194" s="2340"/>
      <c r="Y194" s="2340"/>
      <c r="Z194" s="2340"/>
      <c r="AA194" s="2340"/>
      <c r="AB194" s="2340"/>
      <c r="AC194" s="46"/>
      <c r="AD194" s="46"/>
      <c r="AE194" s="27"/>
      <c r="AM194" s="153"/>
      <c r="AN194" s="1140"/>
      <c r="AO194" s="2383"/>
      <c r="AP194" s="2383"/>
    </row>
    <row r="195" spans="1:42" s="137" customFormat="1" ht="12.75" customHeight="1">
      <c r="A195" s="28"/>
      <c r="B195" s="161"/>
      <c r="C195" s="196"/>
      <c r="D195" s="144"/>
      <c r="E195" s="2340"/>
      <c r="F195" s="2340"/>
      <c r="G195" s="2340"/>
      <c r="H195" s="2340"/>
      <c r="I195" s="2340"/>
      <c r="J195" s="2340"/>
      <c r="K195" s="2340"/>
      <c r="L195" s="2340"/>
      <c r="M195" s="2340"/>
      <c r="N195" s="2340"/>
      <c r="O195" s="2340"/>
      <c r="P195" s="2340"/>
      <c r="Q195" s="2340"/>
      <c r="R195" s="2340"/>
      <c r="S195" s="2340"/>
      <c r="T195" s="2340"/>
      <c r="U195" s="2340"/>
      <c r="V195" s="2340"/>
      <c r="W195" s="2340"/>
      <c r="X195" s="2340"/>
      <c r="Y195" s="2340"/>
      <c r="Z195" s="2340"/>
      <c r="AA195" s="2340"/>
      <c r="AB195" s="2340"/>
      <c r="AC195" s="46"/>
      <c r="AD195" s="46"/>
      <c r="AE195" s="27"/>
      <c r="AF195" s="173"/>
      <c r="AG195" s="27"/>
      <c r="AH195" s="27"/>
      <c r="AI195" s="27"/>
      <c r="AJ195" s="27"/>
      <c r="AK195" s="27"/>
      <c r="AL195" s="27"/>
      <c r="AM195" s="153"/>
      <c r="AN195" s="1140"/>
    </row>
    <row r="196" spans="1:42" s="46" customFormat="1" ht="12.75" customHeight="1">
      <c r="A196" s="28"/>
      <c r="B196" s="161"/>
      <c r="C196" s="196"/>
      <c r="D196" s="144"/>
      <c r="E196" s="2340"/>
      <c r="F196" s="2340"/>
      <c r="G196" s="2340"/>
      <c r="H196" s="2340"/>
      <c r="I196" s="2340"/>
      <c r="J196" s="2340"/>
      <c r="K196" s="2340"/>
      <c r="L196" s="2340"/>
      <c r="M196" s="2340"/>
      <c r="N196" s="2340"/>
      <c r="O196" s="2340"/>
      <c r="P196" s="2340"/>
      <c r="Q196" s="2340"/>
      <c r="R196" s="2340"/>
      <c r="S196" s="2340"/>
      <c r="T196" s="2340"/>
      <c r="U196" s="2340"/>
      <c r="V196" s="2340"/>
      <c r="W196" s="2340"/>
      <c r="X196" s="2340"/>
      <c r="Y196" s="2340"/>
      <c r="Z196" s="2340"/>
      <c r="AA196" s="2340"/>
      <c r="AB196" s="2340"/>
      <c r="AE196" s="27"/>
      <c r="AF196" s="173"/>
      <c r="AG196" s="27"/>
      <c r="AH196" s="27"/>
      <c r="AI196" s="27"/>
      <c r="AJ196" s="27"/>
      <c r="AK196" s="27"/>
      <c r="AL196" s="27"/>
      <c r="AM196" s="153"/>
      <c r="AN196" s="439"/>
      <c r="AO196" s="46" t="s">
        <v>136</v>
      </c>
      <c r="AP196" s="753">
        <v>0</v>
      </c>
    </row>
    <row r="197" spans="1:42" s="46" customFormat="1" ht="12.75" customHeight="1">
      <c r="A197" s="28"/>
      <c r="B197" s="161"/>
      <c r="C197" s="196"/>
      <c r="D197" s="144"/>
      <c r="E197" s="540"/>
      <c r="F197" s="540"/>
      <c r="G197" s="540"/>
      <c r="H197" s="540"/>
      <c r="I197" s="540"/>
      <c r="J197" s="540"/>
      <c r="K197" s="540"/>
      <c r="L197" s="540"/>
      <c r="M197" s="540"/>
      <c r="N197" s="540"/>
      <c r="O197" s="540"/>
      <c r="P197" s="540"/>
      <c r="Q197" s="540"/>
      <c r="R197" s="540"/>
      <c r="S197" s="540"/>
      <c r="T197" s="540"/>
      <c r="U197" s="540"/>
      <c r="V197" s="540"/>
      <c r="W197" s="540"/>
      <c r="X197" s="540"/>
      <c r="Y197" s="540"/>
      <c r="Z197" s="540"/>
      <c r="AA197" s="540"/>
      <c r="AB197" s="540"/>
      <c r="AE197" s="27"/>
      <c r="AF197" s="173"/>
      <c r="AG197" s="27"/>
      <c r="AH197" s="27"/>
      <c r="AI197" s="27"/>
      <c r="AJ197" s="27"/>
      <c r="AK197" s="27"/>
      <c r="AL197" s="27"/>
      <c r="AM197" s="153"/>
      <c r="AN197" s="439"/>
      <c r="AO197" s="144" t="s">
        <v>641</v>
      </c>
      <c r="AP197" s="46">
        <v>2</v>
      </c>
    </row>
    <row r="198" spans="1:42" s="46" customFormat="1" ht="12.75" customHeight="1">
      <c r="A198" s="28"/>
      <c r="B198" s="74"/>
      <c r="C198" s="77"/>
      <c r="D198" s="144" t="s">
        <v>214</v>
      </c>
      <c r="E198" s="2340" t="s">
        <v>2244</v>
      </c>
      <c r="F198" s="2340"/>
      <c r="G198" s="2340"/>
      <c r="H198" s="2340"/>
      <c r="I198" s="2340"/>
      <c r="J198" s="2340"/>
      <c r="K198" s="2340"/>
      <c r="L198" s="2340"/>
      <c r="M198" s="2340"/>
      <c r="N198" s="2340"/>
      <c r="O198" s="2340"/>
      <c r="P198" s="2340"/>
      <c r="Q198" s="2340"/>
      <c r="R198" s="2340"/>
      <c r="S198" s="2340"/>
      <c r="T198" s="2340"/>
      <c r="U198" s="2340"/>
      <c r="V198" s="2340"/>
      <c r="W198" s="2340"/>
      <c r="X198" s="2340"/>
      <c r="Y198" s="2340"/>
      <c r="Z198" s="2340"/>
      <c r="AA198" s="2340"/>
      <c r="AB198" s="2340"/>
      <c r="AF198" s="2378" t="s">
        <v>114</v>
      </c>
      <c r="AG198" s="2378"/>
      <c r="AH198" s="2378"/>
      <c r="AI198" s="2378"/>
      <c r="AJ198" s="2378"/>
      <c r="AK198" s="2378"/>
      <c r="AL198" s="2378"/>
      <c r="AM198" s="153"/>
      <c r="AN198" s="439"/>
      <c r="AO198" s="144" t="s">
        <v>214</v>
      </c>
      <c r="AP198" s="46">
        <v>1</v>
      </c>
    </row>
    <row r="199" spans="1:42" s="46" customFormat="1" ht="12.75" customHeight="1">
      <c r="A199" s="153"/>
      <c r="B199" s="8"/>
      <c r="C199" s="204"/>
      <c r="E199" s="2340"/>
      <c r="F199" s="2340"/>
      <c r="G199" s="2340"/>
      <c r="H199" s="2340"/>
      <c r="I199" s="2340"/>
      <c r="J199" s="2340"/>
      <c r="K199" s="2340"/>
      <c r="L199" s="2340"/>
      <c r="M199" s="2340"/>
      <c r="N199" s="2340"/>
      <c r="O199" s="2340"/>
      <c r="P199" s="2340"/>
      <c r="Q199" s="2340"/>
      <c r="R199" s="2340"/>
      <c r="S199" s="2340"/>
      <c r="T199" s="2340"/>
      <c r="U199" s="2340"/>
      <c r="V199" s="2340"/>
      <c r="W199" s="2340"/>
      <c r="X199" s="2340"/>
      <c r="Y199" s="2340"/>
      <c r="Z199" s="2340"/>
      <c r="AA199" s="2340"/>
      <c r="AB199" s="2340"/>
      <c r="AD199" s="8"/>
      <c r="AE199" s="27"/>
      <c r="AM199" s="153"/>
      <c r="AN199" s="439"/>
    </row>
    <row r="200" spans="1:42" s="46" customFormat="1" ht="12.75" customHeight="1">
      <c r="A200" s="153"/>
      <c r="B200" s="8"/>
      <c r="C200" s="204"/>
      <c r="E200" s="2340"/>
      <c r="F200" s="2340"/>
      <c r="G200" s="2340"/>
      <c r="H200" s="2340"/>
      <c r="I200" s="2340"/>
      <c r="J200" s="2340"/>
      <c r="K200" s="2340"/>
      <c r="L200" s="2340"/>
      <c r="M200" s="2340"/>
      <c r="N200" s="2340"/>
      <c r="O200" s="2340"/>
      <c r="P200" s="2340"/>
      <c r="Q200" s="2340"/>
      <c r="R200" s="2340"/>
      <c r="S200" s="2340"/>
      <c r="T200" s="2340"/>
      <c r="U200" s="2340"/>
      <c r="V200" s="2340"/>
      <c r="W200" s="2340"/>
      <c r="X200" s="2340"/>
      <c r="Y200" s="2340"/>
      <c r="Z200" s="2340"/>
      <c r="AA200" s="2340"/>
      <c r="AB200" s="2340"/>
      <c r="AD200" s="8"/>
      <c r="AE200" s="27"/>
      <c r="AM200" s="153"/>
      <c r="AN200" s="439"/>
    </row>
    <row r="201" spans="1:42" s="16" customFormat="1" ht="12.75" customHeight="1">
      <c r="A201" s="153"/>
      <c r="B201" s="8"/>
      <c r="C201" s="204"/>
      <c r="D201" s="46"/>
      <c r="E201" s="2340"/>
      <c r="F201" s="2340"/>
      <c r="G201" s="2340"/>
      <c r="H201" s="2340"/>
      <c r="I201" s="2340"/>
      <c r="J201" s="2340"/>
      <c r="K201" s="2340"/>
      <c r="L201" s="2340"/>
      <c r="M201" s="2340"/>
      <c r="N201" s="2340"/>
      <c r="O201" s="2340"/>
      <c r="P201" s="2340"/>
      <c r="Q201" s="2340"/>
      <c r="R201" s="2340"/>
      <c r="S201" s="2340"/>
      <c r="T201" s="2340"/>
      <c r="U201" s="2340"/>
      <c r="V201" s="2340"/>
      <c r="W201" s="2340"/>
      <c r="X201" s="2340"/>
      <c r="Y201" s="2340"/>
      <c r="Z201" s="2340"/>
      <c r="AA201" s="2340"/>
      <c r="AB201" s="2340"/>
      <c r="AC201" s="46"/>
      <c r="AD201" s="8"/>
      <c r="AE201" s="27"/>
      <c r="AF201" s="27"/>
      <c r="AG201" s="27"/>
      <c r="AH201" s="27"/>
      <c r="AI201" s="27"/>
      <c r="AJ201" s="46"/>
      <c r="AK201" s="153"/>
      <c r="AL201" s="153"/>
      <c r="AM201" s="153"/>
      <c r="AN201" s="317"/>
    </row>
    <row r="202" spans="1:42" s="16" customFormat="1" ht="5.0999999999999996" customHeight="1">
      <c r="A202" s="153"/>
      <c r="B202" s="8"/>
      <c r="C202" s="204"/>
      <c r="D202" s="46"/>
      <c r="E202" s="1392"/>
      <c r="F202" s="1392"/>
      <c r="G202" s="1392"/>
      <c r="H202" s="1392"/>
      <c r="I202" s="1392"/>
      <c r="J202" s="1392"/>
      <c r="K202" s="1392"/>
      <c r="L202" s="1392"/>
      <c r="M202" s="1392"/>
      <c r="N202" s="1392"/>
      <c r="O202" s="1392"/>
      <c r="P202" s="1392"/>
      <c r="Q202" s="1392"/>
      <c r="R202" s="1392"/>
      <c r="S202" s="1392"/>
      <c r="T202" s="1392"/>
      <c r="U202" s="1392"/>
      <c r="V202" s="1392"/>
      <c r="W202" s="1392"/>
      <c r="X202" s="1392"/>
      <c r="Y202" s="1392"/>
      <c r="Z202" s="1392"/>
      <c r="AA202" s="1392"/>
      <c r="AB202" s="1392"/>
      <c r="AC202" s="46"/>
      <c r="AD202" s="8"/>
      <c r="AE202" s="27"/>
      <c r="AF202" s="27"/>
      <c r="AG202" s="27"/>
      <c r="AH202" s="27"/>
      <c r="AI202" s="27"/>
      <c r="AJ202" s="46"/>
      <c r="AK202" s="153"/>
      <c r="AL202" s="153"/>
      <c r="AM202" s="153"/>
      <c r="AN202" s="317"/>
    </row>
    <row r="203" spans="1:42" s="16" customFormat="1" ht="12.75" customHeight="1">
      <c r="A203" s="153"/>
      <c r="B203" s="8"/>
      <c r="C203" s="204"/>
      <c r="D203" s="46"/>
      <c r="E203" s="2574" t="s">
        <v>2245</v>
      </c>
      <c r="F203" s="2574"/>
      <c r="G203" s="2574"/>
      <c r="H203" s="2574"/>
      <c r="I203" s="2574"/>
      <c r="J203" s="2574"/>
      <c r="K203" s="2574"/>
      <c r="L203" s="2574"/>
      <c r="M203" s="2574"/>
      <c r="N203" s="2574"/>
      <c r="O203" s="2574"/>
      <c r="P203" s="2574"/>
      <c r="Q203" s="2574"/>
      <c r="R203" s="2574"/>
      <c r="S203" s="2574"/>
      <c r="T203" s="2574"/>
      <c r="U203" s="2574"/>
      <c r="V203" s="2574"/>
      <c r="W203" s="2574"/>
      <c r="X203" s="2574"/>
      <c r="Y203" s="2574"/>
      <c r="Z203" s="2574"/>
      <c r="AA203" s="2574"/>
      <c r="AB203" s="2574"/>
      <c r="AC203" s="46"/>
      <c r="AD203" s="8"/>
      <c r="AE203" s="27"/>
      <c r="AF203" s="27"/>
      <c r="AG203" s="27"/>
      <c r="AH203" s="27"/>
      <c r="AI203" s="27"/>
      <c r="AJ203" s="46"/>
      <c r="AK203" s="153"/>
      <c r="AL203" s="153"/>
      <c r="AM203" s="153"/>
      <c r="AN203" s="317"/>
    </row>
    <row r="204" spans="1:42" s="16" customFormat="1" ht="12.75" customHeight="1">
      <c r="A204" s="153"/>
      <c r="B204" s="8"/>
      <c r="C204" s="204"/>
      <c r="D204" s="46"/>
      <c r="E204" s="2574"/>
      <c r="F204" s="2574"/>
      <c r="G204" s="2574"/>
      <c r="H204" s="2574"/>
      <c r="I204" s="2574"/>
      <c r="J204" s="2574"/>
      <c r="K204" s="2574"/>
      <c r="L204" s="2574"/>
      <c r="M204" s="2574"/>
      <c r="N204" s="2574"/>
      <c r="O204" s="2574"/>
      <c r="P204" s="2574"/>
      <c r="Q204" s="2574"/>
      <c r="R204" s="2574"/>
      <c r="S204" s="2574"/>
      <c r="T204" s="2574"/>
      <c r="U204" s="2574"/>
      <c r="V204" s="2574"/>
      <c r="W204" s="2574"/>
      <c r="X204" s="2574"/>
      <c r="Y204" s="2574"/>
      <c r="Z204" s="2574"/>
      <c r="AA204" s="2574"/>
      <c r="AB204" s="2574"/>
      <c r="AC204" s="46"/>
      <c r="AD204" s="8"/>
      <c r="AE204" s="27"/>
      <c r="AF204" s="27"/>
      <c r="AG204" s="27"/>
      <c r="AH204" s="27"/>
      <c r="AI204" s="27"/>
      <c r="AJ204" s="46"/>
      <c r="AK204" s="153"/>
      <c r="AL204" s="153"/>
      <c r="AM204" s="153"/>
      <c r="AN204" s="317"/>
    </row>
    <row r="205" spans="1:42" s="16" customFormat="1" ht="18" customHeight="1">
      <c r="A205" s="153"/>
      <c r="B205" s="8"/>
      <c r="C205" s="204"/>
      <c r="D205" s="46"/>
      <c r="E205" s="2574"/>
      <c r="F205" s="2574"/>
      <c r="G205" s="2574"/>
      <c r="H205" s="2574"/>
      <c r="I205" s="2574"/>
      <c r="J205" s="2574"/>
      <c r="K205" s="2574"/>
      <c r="L205" s="2574"/>
      <c r="M205" s="2574"/>
      <c r="N205" s="2574"/>
      <c r="O205" s="2574"/>
      <c r="P205" s="2574"/>
      <c r="Q205" s="2574"/>
      <c r="R205" s="2574"/>
      <c r="S205" s="2574"/>
      <c r="T205" s="2574"/>
      <c r="U205" s="2574"/>
      <c r="V205" s="2574"/>
      <c r="W205" s="2574"/>
      <c r="X205" s="2574"/>
      <c r="Y205" s="2574"/>
      <c r="Z205" s="2574"/>
      <c r="AA205" s="2574"/>
      <c r="AB205" s="2574"/>
      <c r="AC205" s="46"/>
      <c r="AD205" s="8"/>
      <c r="AE205" s="27"/>
      <c r="AF205" s="27"/>
      <c r="AG205" s="27"/>
      <c r="AH205" s="27"/>
      <c r="AI205" s="27"/>
      <c r="AJ205" s="46"/>
      <c r="AK205" s="153"/>
      <c r="AL205" s="153"/>
      <c r="AM205" s="153"/>
      <c r="AN205" s="317"/>
    </row>
    <row r="206" spans="1:42" s="16" customFormat="1" ht="12.75" customHeight="1">
      <c r="A206" s="153"/>
      <c r="B206" s="8"/>
      <c r="C206" s="204"/>
      <c r="D206" s="28" t="s">
        <v>163</v>
      </c>
      <c r="E206" s="190"/>
      <c r="F206" s="190"/>
      <c r="G206" s="190"/>
      <c r="H206" s="2388" t="s">
        <v>641</v>
      </c>
      <c r="I206" s="2388"/>
      <c r="J206" s="174"/>
      <c r="K206" s="174"/>
      <c r="L206" s="174"/>
      <c r="M206" s="174"/>
      <c r="N206" s="174"/>
      <c r="O206" s="174"/>
      <c r="P206" s="174"/>
      <c r="Q206" s="174"/>
      <c r="R206" s="174"/>
      <c r="S206" s="174"/>
      <c r="T206" s="174"/>
      <c r="U206" s="174"/>
      <c r="V206" s="174"/>
      <c r="W206" s="174"/>
      <c r="X206" s="174"/>
      <c r="Y206" s="174"/>
      <c r="Z206" s="174"/>
      <c r="AA206" s="174"/>
      <c r="AB206" s="174"/>
      <c r="AC206" s="46"/>
      <c r="AD206" s="8"/>
      <c r="AE206" s="27"/>
      <c r="AF206" s="27"/>
      <c r="AG206" s="27"/>
      <c r="AH206" s="27"/>
      <c r="AI206" s="27"/>
      <c r="AJ206" s="46"/>
      <c r="AK206" s="153"/>
      <c r="AL206" s="153"/>
      <c r="AM206" s="153"/>
      <c r="AN206" s="317"/>
      <c r="AP206" s="16" t="s">
        <v>102</v>
      </c>
    </row>
    <row r="207" spans="1:42" s="16" customFormat="1">
      <c r="A207" s="153"/>
      <c r="B207" s="8"/>
      <c r="C207" s="204"/>
      <c r="D207" s="46"/>
      <c r="E207" s="174"/>
      <c r="F207" s="174"/>
      <c r="G207" s="174"/>
      <c r="H207" s="174"/>
      <c r="I207" s="174"/>
      <c r="J207" s="174"/>
      <c r="K207" s="174"/>
      <c r="L207" s="174"/>
      <c r="M207" s="174"/>
      <c r="N207" s="174"/>
      <c r="O207" s="174"/>
      <c r="P207" s="174"/>
      <c r="Q207" s="174"/>
      <c r="R207" s="174"/>
      <c r="S207" s="174"/>
      <c r="T207" s="174"/>
      <c r="U207" s="174"/>
      <c r="V207" s="174"/>
      <c r="W207" s="174"/>
      <c r="X207" s="174"/>
      <c r="Y207" s="174"/>
      <c r="Z207" s="174"/>
      <c r="AA207" s="174"/>
      <c r="AB207" s="174"/>
      <c r="AC207" s="46"/>
      <c r="AD207" s="8"/>
      <c r="AE207" s="27"/>
      <c r="AF207" s="27"/>
      <c r="AG207" s="27"/>
      <c r="AH207" s="27"/>
      <c r="AI207" s="27"/>
      <c r="AJ207" s="46"/>
      <c r="AK207" s="153"/>
      <c r="AL207" s="153"/>
      <c r="AM207" s="153"/>
      <c r="AN207" s="317"/>
      <c r="AP207" s="16" t="s">
        <v>103</v>
      </c>
    </row>
    <row r="208" spans="1:42" s="16" customFormat="1" ht="12.75" customHeight="1">
      <c r="A208" s="156"/>
      <c r="B208" s="146"/>
      <c r="C208" s="198"/>
      <c r="D208" s="157"/>
      <c r="E208" s="157"/>
      <c r="F208" s="157"/>
      <c r="G208" s="157"/>
      <c r="H208" s="157"/>
      <c r="I208" s="157"/>
      <c r="J208" s="210"/>
      <c r="K208" s="210"/>
      <c r="L208" s="201"/>
      <c r="M208" s="201"/>
      <c r="N208" s="201"/>
      <c r="O208" s="201"/>
      <c r="P208" s="201"/>
      <c r="Q208" s="201"/>
      <c r="R208" s="201"/>
      <c r="S208" s="201"/>
      <c r="T208" s="201"/>
      <c r="U208" s="201"/>
      <c r="V208" s="201"/>
      <c r="W208" s="201"/>
      <c r="X208" s="201"/>
      <c r="Y208" s="193"/>
      <c r="Z208" s="193"/>
      <c r="AA208" s="193"/>
      <c r="AB208" s="167"/>
      <c r="AC208" s="159"/>
      <c r="AD208" s="167"/>
      <c r="AE208" s="167"/>
      <c r="AF208" s="167"/>
      <c r="AG208" s="167"/>
      <c r="AH208" s="167"/>
      <c r="AI208" s="139" t="s">
        <v>458</v>
      </c>
      <c r="AJ208" s="2373">
        <f>VLOOKUP($H$206,$AO$156:$AP$158,2,FALSE)</f>
        <v>3</v>
      </c>
      <c r="AK208" s="2374"/>
      <c r="AL208" s="25"/>
      <c r="AM208" s="137"/>
      <c r="AN208" s="317"/>
      <c r="AP208" s="16" t="s">
        <v>104</v>
      </c>
    </row>
    <row r="209" spans="1:52" s="16" customFormat="1">
      <c r="A209" s="153"/>
      <c r="B209" s="8"/>
      <c r="C209" s="46"/>
      <c r="D209" s="46"/>
      <c r="E209" s="46"/>
      <c r="F209" s="46"/>
      <c r="G209" s="46"/>
      <c r="H209" s="46"/>
      <c r="I209" s="46"/>
      <c r="J209" s="46"/>
      <c r="K209" s="46"/>
      <c r="L209" s="46"/>
      <c r="M209" s="46"/>
      <c r="N209" s="46"/>
      <c r="O209" s="46"/>
      <c r="P209" s="46"/>
      <c r="Q209" s="46"/>
      <c r="R209" s="46"/>
      <c r="S209" s="46"/>
      <c r="T209" s="46"/>
      <c r="U209" s="46"/>
      <c r="V209" s="46"/>
      <c r="W209" s="46"/>
      <c r="X209" s="46"/>
      <c r="Y209" s="46"/>
      <c r="Z209" s="46"/>
      <c r="AA209" s="46"/>
      <c r="AB209" s="46"/>
      <c r="AC209" s="46"/>
      <c r="AD209" s="8"/>
      <c r="AE209" s="27"/>
      <c r="AF209" s="27"/>
      <c r="AG209" s="27"/>
      <c r="AH209" s="27"/>
      <c r="AI209" s="27"/>
      <c r="AJ209" s="46"/>
      <c r="AK209" s="153"/>
      <c r="AL209" s="153"/>
      <c r="AM209" s="153"/>
      <c r="AN209" s="317"/>
      <c r="AP209" s="16" t="s">
        <v>388</v>
      </c>
    </row>
    <row r="210" spans="1:52" s="16" customFormat="1" ht="12.75" customHeight="1">
      <c r="A210" s="153"/>
      <c r="B210" s="46"/>
      <c r="C210" s="48" t="s">
        <v>31</v>
      </c>
      <c r="D210" s="211"/>
      <c r="E210" s="46"/>
      <c r="F210" s="46"/>
      <c r="G210" s="46"/>
      <c r="H210" s="46"/>
      <c r="I210" s="46"/>
      <c r="J210" s="46"/>
      <c r="K210" s="46"/>
      <c r="L210" s="46"/>
      <c r="M210" s="46"/>
      <c r="N210" s="46"/>
      <c r="O210" s="46"/>
      <c r="P210" s="46"/>
      <c r="Q210" s="46"/>
      <c r="R210" s="46"/>
      <c r="S210" s="46"/>
      <c r="T210" s="46"/>
      <c r="U210" s="46"/>
      <c r="V210" s="46"/>
      <c r="W210" s="46"/>
      <c r="X210" s="46"/>
      <c r="Y210" s="46"/>
      <c r="Z210" s="46"/>
      <c r="AA210" s="46"/>
      <c r="AB210" s="46"/>
      <c r="AC210" s="46"/>
      <c r="AD210" s="8"/>
      <c r="AE210" s="27"/>
      <c r="AF210" s="27"/>
      <c r="AG210" s="27"/>
      <c r="AH210" s="27"/>
      <c r="AI210" s="27"/>
      <c r="AJ210" s="46"/>
      <c r="AK210" s="153"/>
      <c r="AL210" s="153"/>
      <c r="AM210" s="153"/>
      <c r="AN210" s="317"/>
      <c r="AP210" s="16" t="s">
        <v>111</v>
      </c>
    </row>
    <row r="211" spans="1:52" s="16" customFormat="1" ht="12.75" customHeight="1">
      <c r="A211" s="153"/>
      <c r="B211" s="8"/>
      <c r="C211" s="212"/>
      <c r="D211" s="46"/>
      <c r="E211" s="46"/>
      <c r="F211" s="46"/>
      <c r="G211" s="46"/>
      <c r="H211" s="46"/>
      <c r="I211" s="46"/>
      <c r="J211" s="46"/>
      <c r="K211" s="46"/>
      <c r="L211" s="46"/>
      <c r="M211" s="46"/>
      <c r="N211" s="46"/>
      <c r="O211" s="46"/>
      <c r="P211" s="46"/>
      <c r="Q211" s="46"/>
      <c r="R211" s="46"/>
      <c r="S211" s="46"/>
      <c r="T211" s="46"/>
      <c r="U211" s="46"/>
      <c r="V211" s="46"/>
      <c r="W211" s="46"/>
      <c r="X211" s="46"/>
      <c r="Y211" s="46"/>
      <c r="Z211" s="46"/>
      <c r="AA211" s="46"/>
      <c r="AB211" s="46"/>
      <c r="AC211" s="46"/>
      <c r="AD211" s="8"/>
      <c r="AE211" s="27"/>
      <c r="AF211" s="27"/>
      <c r="AG211" s="27"/>
      <c r="AH211" s="27"/>
      <c r="AI211" s="27"/>
      <c r="AJ211" s="46"/>
      <c r="AK211" s="153"/>
      <c r="AL211" s="153"/>
      <c r="AM211" s="153"/>
      <c r="AN211" s="317"/>
      <c r="AP211" s="16" t="s">
        <v>108</v>
      </c>
    </row>
    <row r="212" spans="1:52" s="16" customFormat="1" ht="12.75" customHeight="1">
      <c r="A212" s="57"/>
      <c r="B212" s="46"/>
      <c r="C212" s="77"/>
      <c r="D212" s="144" t="s">
        <v>641</v>
      </c>
      <c r="E212" s="2575" t="s">
        <v>1389</v>
      </c>
      <c r="F212" s="2575"/>
      <c r="G212" s="2575"/>
      <c r="H212" s="2575"/>
      <c r="I212" s="2575"/>
      <c r="J212" s="2575"/>
      <c r="K212" s="2575"/>
      <c r="L212" s="2575"/>
      <c r="M212" s="2575"/>
      <c r="N212" s="2575"/>
      <c r="O212" s="2575"/>
      <c r="P212" s="2575"/>
      <c r="Q212" s="2575"/>
      <c r="R212" s="2575"/>
      <c r="S212" s="2575"/>
      <c r="T212" s="2575"/>
      <c r="U212" s="2575"/>
      <c r="V212" s="2575"/>
      <c r="W212" s="2575"/>
      <c r="X212" s="2575"/>
      <c r="Y212" s="2575"/>
      <c r="Z212" s="2575"/>
      <c r="AA212" s="2575"/>
      <c r="AB212" s="2575"/>
      <c r="AC212" s="46"/>
      <c r="AD212" s="46"/>
      <c r="AF212" s="2378" t="s">
        <v>66</v>
      </c>
      <c r="AG212" s="2378"/>
      <c r="AH212" s="2378"/>
      <c r="AI212" s="2378"/>
      <c r="AJ212" s="2378"/>
      <c r="AK212" s="2378"/>
      <c r="AL212" s="2378"/>
      <c r="AM212" s="153"/>
      <c r="AN212" s="317"/>
      <c r="AP212" s="50" t="s">
        <v>109</v>
      </c>
    </row>
    <row r="213" spans="1:52" s="16" customFormat="1" ht="11.85" customHeight="1">
      <c r="A213" s="28"/>
      <c r="B213" s="161"/>
      <c r="C213" s="187"/>
      <c r="D213" s="144"/>
      <c r="E213" s="2575"/>
      <c r="F213" s="2575"/>
      <c r="G213" s="2575"/>
      <c r="H213" s="2575"/>
      <c r="I213" s="2575"/>
      <c r="J213" s="2575"/>
      <c r="K213" s="2575"/>
      <c r="L213" s="2575"/>
      <c r="M213" s="2575"/>
      <c r="N213" s="2575"/>
      <c r="O213" s="2575"/>
      <c r="P213" s="2575"/>
      <c r="Q213" s="2575"/>
      <c r="R213" s="2575"/>
      <c r="S213" s="2575"/>
      <c r="T213" s="2575"/>
      <c r="U213" s="2575"/>
      <c r="V213" s="2575"/>
      <c r="W213" s="2575"/>
      <c r="X213" s="2575"/>
      <c r="Y213" s="2575"/>
      <c r="Z213" s="2575"/>
      <c r="AA213" s="2575"/>
      <c r="AB213" s="2575"/>
      <c r="AC213" s="46"/>
      <c r="AD213" s="46"/>
      <c r="AE213" s="28"/>
      <c r="AM213" s="153"/>
      <c r="AN213" s="317"/>
      <c r="AP213" s="50" t="s">
        <v>106</v>
      </c>
    </row>
    <row r="214" spans="1:52" s="16" customFormat="1" ht="14.1" customHeight="1">
      <c r="A214" s="28"/>
      <c r="B214" s="148"/>
      <c r="C214" s="188"/>
      <c r="D214" s="144"/>
      <c r="E214" s="2575"/>
      <c r="F214" s="2575"/>
      <c r="G214" s="2575"/>
      <c r="H214" s="2575"/>
      <c r="I214" s="2575"/>
      <c r="J214" s="2575"/>
      <c r="K214" s="2575"/>
      <c r="L214" s="2575"/>
      <c r="M214" s="2575"/>
      <c r="N214" s="2575"/>
      <c r="O214" s="2575"/>
      <c r="P214" s="2575"/>
      <c r="Q214" s="2575"/>
      <c r="R214" s="2575"/>
      <c r="S214" s="2575"/>
      <c r="T214" s="2575"/>
      <c r="U214" s="2575"/>
      <c r="V214" s="2575"/>
      <c r="W214" s="2575"/>
      <c r="X214" s="2575"/>
      <c r="Y214" s="2575"/>
      <c r="Z214" s="2575"/>
      <c r="AA214" s="2575"/>
      <c r="AB214" s="2575"/>
      <c r="AC214" s="46"/>
      <c r="AD214" s="46"/>
      <c r="AE214" s="27"/>
      <c r="AM214" s="153"/>
      <c r="AN214" s="317"/>
      <c r="AP214" s="50" t="s">
        <v>107</v>
      </c>
    </row>
    <row r="215" spans="1:52" s="16" customFormat="1" ht="14.1" customHeight="1">
      <c r="A215" s="28"/>
      <c r="B215" s="74"/>
      <c r="C215" s="77"/>
      <c r="D215" s="144" t="s">
        <v>214</v>
      </c>
      <c r="E215" s="2476" t="s">
        <v>1390</v>
      </c>
      <c r="F215" s="2476"/>
      <c r="G215" s="2476"/>
      <c r="H215" s="2476"/>
      <c r="I215" s="2476"/>
      <c r="J215" s="2476"/>
      <c r="K215" s="2476"/>
      <c r="L215" s="2476"/>
      <c r="M215" s="2476"/>
      <c r="N215" s="2476"/>
      <c r="O215" s="2476"/>
      <c r="P215" s="2476"/>
      <c r="Q215" s="2476"/>
      <c r="R215" s="2476"/>
      <c r="S215" s="2476"/>
      <c r="T215" s="2476"/>
      <c r="U215" s="2476"/>
      <c r="V215" s="2476"/>
      <c r="W215" s="2476"/>
      <c r="X215" s="2476"/>
      <c r="Y215" s="2476"/>
      <c r="Z215" s="2476"/>
      <c r="AA215" s="2476"/>
      <c r="AB215" s="2476"/>
      <c r="AC215" s="46"/>
      <c r="AD215" s="46"/>
      <c r="AF215" s="2378" t="s">
        <v>114</v>
      </c>
      <c r="AG215" s="2378"/>
      <c r="AH215" s="2378"/>
      <c r="AI215" s="2378"/>
      <c r="AJ215" s="2378"/>
      <c r="AK215" s="2378"/>
      <c r="AL215" s="2378"/>
      <c r="AM215" s="153"/>
      <c r="AN215" s="1142"/>
      <c r="AP215" s="499" t="s">
        <v>389</v>
      </c>
    </row>
    <row r="216" spans="1:52" s="16" customFormat="1" ht="12.75" customHeight="1">
      <c r="A216" s="28"/>
      <c r="B216" s="161"/>
      <c r="C216" s="187"/>
      <c r="D216" s="28"/>
      <c r="E216" s="2476"/>
      <c r="F216" s="2476"/>
      <c r="G216" s="2476"/>
      <c r="H216" s="2476"/>
      <c r="I216" s="2476"/>
      <c r="J216" s="2476"/>
      <c r="K216" s="2476"/>
      <c r="L216" s="2476"/>
      <c r="M216" s="2476"/>
      <c r="N216" s="2476"/>
      <c r="O216" s="2476"/>
      <c r="P216" s="2476"/>
      <c r="Q216" s="2476"/>
      <c r="R216" s="2476"/>
      <c r="S216" s="2476"/>
      <c r="T216" s="2476"/>
      <c r="U216" s="2476"/>
      <c r="V216" s="2476"/>
      <c r="W216" s="2476"/>
      <c r="X216" s="2476"/>
      <c r="Y216" s="2476"/>
      <c r="Z216" s="2476"/>
      <c r="AA216" s="2476"/>
      <c r="AB216" s="2476"/>
      <c r="AC216" s="28"/>
      <c r="AD216" s="161"/>
      <c r="AE216" s="28"/>
      <c r="AF216" s="28"/>
      <c r="AG216" s="28"/>
      <c r="AH216" s="28"/>
      <c r="AI216" s="28"/>
      <c r="AJ216" s="46"/>
      <c r="AK216" s="153"/>
      <c r="AL216" s="153"/>
      <c r="AM216" s="153"/>
      <c r="AN216" s="317"/>
      <c r="AP216" s="46" t="s">
        <v>136</v>
      </c>
      <c r="AQ216" s="753">
        <v>0</v>
      </c>
    </row>
    <row r="217" spans="1:52" s="16" customFormat="1" ht="14.1" customHeight="1">
      <c r="A217" s="28"/>
      <c r="B217" s="161"/>
      <c r="C217" s="187"/>
      <c r="D217" s="28"/>
      <c r="E217" s="2476"/>
      <c r="F217" s="2476"/>
      <c r="G217" s="2476"/>
      <c r="H217" s="2476"/>
      <c r="I217" s="2476"/>
      <c r="J217" s="2476"/>
      <c r="K217" s="2476"/>
      <c r="L217" s="2476"/>
      <c r="M217" s="2476"/>
      <c r="N217" s="2476"/>
      <c r="O217" s="2476"/>
      <c r="P217" s="2476"/>
      <c r="Q217" s="2476"/>
      <c r="R217" s="2476"/>
      <c r="S217" s="2476"/>
      <c r="T217" s="2476"/>
      <c r="U217" s="2476"/>
      <c r="V217" s="2476"/>
      <c r="W217" s="2476"/>
      <c r="X217" s="2476"/>
      <c r="Y217" s="2476"/>
      <c r="Z217" s="2476"/>
      <c r="AA217" s="2476"/>
      <c r="AB217" s="2476"/>
      <c r="AC217" s="28"/>
      <c r="AD217" s="161"/>
      <c r="AE217" s="28"/>
      <c r="AF217" s="28"/>
      <c r="AG217" s="28"/>
      <c r="AH217" s="28"/>
      <c r="AI217" s="28"/>
      <c r="AJ217" s="46"/>
      <c r="AK217" s="153"/>
      <c r="AL217" s="153"/>
      <c r="AM217" s="153"/>
      <c r="AN217" s="317"/>
      <c r="AP217" s="144" t="s">
        <v>641</v>
      </c>
      <c r="AQ217" s="46">
        <v>2</v>
      </c>
    </row>
    <row r="218" spans="1:52" s="16" customFormat="1" ht="14.1" customHeight="1">
      <c r="A218" s="28"/>
      <c r="B218" s="161"/>
      <c r="C218" s="187"/>
      <c r="D218" s="28" t="s">
        <v>163</v>
      </c>
      <c r="E218" s="190"/>
      <c r="F218" s="190"/>
      <c r="G218" s="190"/>
      <c r="H218" s="2388" t="s">
        <v>136</v>
      </c>
      <c r="I218" s="2388"/>
      <c r="J218" s="213"/>
      <c r="K218" s="213"/>
      <c r="L218" s="213"/>
      <c r="M218" s="213"/>
      <c r="N218" s="213"/>
      <c r="O218" s="213"/>
      <c r="P218" s="213"/>
      <c r="Q218" s="213"/>
      <c r="R218" s="213"/>
      <c r="S218" s="213"/>
      <c r="T218" s="213"/>
      <c r="U218" s="213"/>
      <c r="V218" s="213"/>
      <c r="W218" s="213"/>
      <c r="X218" s="213"/>
      <c r="Y218" s="213"/>
      <c r="Z218" s="213"/>
      <c r="AA218" s="213"/>
      <c r="AB218" s="213"/>
      <c r="AC218" s="28"/>
      <c r="AD218" s="161"/>
      <c r="AE218" s="28"/>
      <c r="AF218" s="28"/>
      <c r="AG218" s="28"/>
      <c r="AH218" s="28"/>
      <c r="AI218" s="28"/>
      <c r="AJ218" s="46"/>
      <c r="AK218" s="153"/>
      <c r="AL218" s="153"/>
      <c r="AM218" s="153"/>
      <c r="AN218" s="317"/>
      <c r="AP218" s="144" t="s">
        <v>214</v>
      </c>
      <c r="AQ218" s="46">
        <v>3</v>
      </c>
    </row>
    <row r="219" spans="1:52" s="50" customFormat="1" ht="14.25" customHeight="1">
      <c r="A219" s="28"/>
      <c r="B219" s="161"/>
      <c r="C219" s="187"/>
      <c r="D219" s="28"/>
      <c r="E219" s="213"/>
      <c r="F219" s="213"/>
      <c r="G219" s="213"/>
      <c r="H219" s="213"/>
      <c r="I219" s="213"/>
      <c r="J219" s="213"/>
      <c r="K219" s="213"/>
      <c r="L219" s="213"/>
      <c r="M219" s="213"/>
      <c r="N219" s="213"/>
      <c r="O219" s="213"/>
      <c r="P219" s="213"/>
      <c r="Q219" s="213"/>
      <c r="R219" s="213"/>
      <c r="S219" s="213"/>
      <c r="T219" s="213"/>
      <c r="U219" s="213"/>
      <c r="V219" s="213"/>
      <c r="W219" s="213"/>
      <c r="X219" s="213"/>
      <c r="Y219" s="213"/>
      <c r="Z219" s="213"/>
      <c r="AA219" s="213"/>
      <c r="AB219" s="213"/>
      <c r="AC219" s="28"/>
      <c r="AD219" s="161"/>
      <c r="AE219" s="28"/>
      <c r="AF219" s="28"/>
      <c r="AG219" s="28"/>
      <c r="AH219" s="28"/>
      <c r="AI219" s="28"/>
      <c r="AJ219" s="46"/>
      <c r="AK219" s="153"/>
      <c r="AL219" s="153"/>
      <c r="AM219" s="153"/>
      <c r="AN219" s="1143"/>
    </row>
    <row r="220" spans="1:52" s="50" customFormat="1" ht="12.75" customHeight="1">
      <c r="A220" s="191"/>
      <c r="B220" s="159"/>
      <c r="C220" s="192"/>
      <c r="D220" s="157"/>
      <c r="E220" s="157"/>
      <c r="F220" s="157"/>
      <c r="G220" s="157"/>
      <c r="H220" s="157"/>
      <c r="I220" s="157"/>
      <c r="J220" s="214"/>
      <c r="K220" s="214"/>
      <c r="L220" s="214"/>
      <c r="M220" s="214"/>
      <c r="N220" s="214"/>
      <c r="O220" s="214"/>
      <c r="P220" s="214"/>
      <c r="Q220" s="214"/>
      <c r="R220" s="214"/>
      <c r="S220" s="214"/>
      <c r="T220" s="214"/>
      <c r="U220" s="201"/>
      <c r="V220" s="201"/>
      <c r="W220" s="201"/>
      <c r="X220" s="201"/>
      <c r="Y220" s="193"/>
      <c r="Z220" s="193"/>
      <c r="AA220" s="193"/>
      <c r="AB220" s="167"/>
      <c r="AC220" s="159"/>
      <c r="AD220" s="167"/>
      <c r="AE220" s="167"/>
      <c r="AF220" s="167"/>
      <c r="AG220" s="167"/>
      <c r="AH220" s="167"/>
      <c r="AI220" s="139" t="s">
        <v>340</v>
      </c>
      <c r="AJ220" s="2373">
        <f>VLOOKUP($H$218,$AO$156:$AP$158,2,FALSE)</f>
        <v>0</v>
      </c>
      <c r="AK220" s="2374"/>
      <c r="AL220" s="25"/>
      <c r="AM220" s="137"/>
      <c r="AN220" s="1143"/>
      <c r="AP220" s="2373"/>
      <c r="AQ220" s="2374"/>
    </row>
    <row r="221" spans="1:52" s="16" customFormat="1">
      <c r="A221" s="28"/>
      <c r="B221" s="148"/>
      <c r="C221" s="188"/>
      <c r="D221" s="21"/>
      <c r="E221" s="27"/>
      <c r="F221" s="27"/>
      <c r="G221" s="27"/>
      <c r="H221" s="27"/>
      <c r="I221" s="27"/>
      <c r="J221" s="27"/>
      <c r="K221" s="27"/>
      <c r="L221" s="27"/>
      <c r="M221" s="27"/>
      <c r="N221" s="27"/>
      <c r="O221" s="27"/>
      <c r="P221" s="27"/>
      <c r="Q221" s="27"/>
      <c r="R221" s="27"/>
      <c r="S221" s="27"/>
      <c r="T221" s="27"/>
      <c r="U221" s="27"/>
      <c r="V221" s="27"/>
      <c r="W221" s="27"/>
      <c r="X221" s="27"/>
      <c r="Y221" s="27"/>
      <c r="Z221" s="27"/>
      <c r="AA221" s="27"/>
      <c r="AB221" s="27"/>
      <c r="AC221" s="28"/>
      <c r="AD221" s="161"/>
      <c r="AE221" s="28"/>
      <c r="AF221" s="28"/>
      <c r="AG221" s="28"/>
      <c r="AH221" s="28"/>
      <c r="AI221" s="28"/>
      <c r="AJ221" s="162"/>
      <c r="AK221" s="28"/>
      <c r="AL221" s="28"/>
      <c r="AM221" s="28"/>
      <c r="AN221" s="317"/>
      <c r="AT221" s="65"/>
      <c r="AU221" s="65"/>
      <c r="AV221" s="65"/>
      <c r="AW221" s="65"/>
      <c r="AX221" s="65"/>
      <c r="AY221" s="65"/>
      <c r="AZ221" s="65"/>
    </row>
    <row r="222" spans="1:52" s="16" customFormat="1">
      <c r="A222" s="28"/>
      <c r="B222" s="46"/>
      <c r="C222" s="48" t="s">
        <v>1670</v>
      </c>
      <c r="D222" s="215"/>
      <c r="E222" s="27"/>
      <c r="F222" s="27"/>
      <c r="G222" s="27"/>
      <c r="H222" s="27"/>
      <c r="I222" s="27"/>
      <c r="J222" s="27"/>
      <c r="K222" s="27"/>
      <c r="L222" s="27"/>
      <c r="M222" s="27"/>
      <c r="N222" s="27"/>
      <c r="O222" s="27"/>
      <c r="P222" s="27"/>
      <c r="Q222" s="27"/>
      <c r="R222" s="27"/>
      <c r="S222" s="27"/>
      <c r="T222" s="27"/>
      <c r="U222" s="27"/>
      <c r="V222" s="27"/>
      <c r="W222" s="27"/>
      <c r="X222" s="27"/>
      <c r="Y222" s="27"/>
      <c r="Z222" s="27"/>
      <c r="AA222" s="27"/>
      <c r="AB222" s="27"/>
      <c r="AC222" s="28"/>
      <c r="AD222" s="161"/>
      <c r="AE222" s="28"/>
      <c r="AF222" s="28"/>
      <c r="AG222" s="28"/>
      <c r="AH222" s="28"/>
      <c r="AI222" s="28"/>
      <c r="AJ222" s="162"/>
      <c r="AK222" s="28"/>
      <c r="AL222" s="28"/>
      <c r="AM222" s="28"/>
      <c r="AN222" s="317"/>
      <c r="AT222" s="65"/>
      <c r="AU222" s="65"/>
      <c r="AV222" s="65"/>
      <c r="AW222" s="65"/>
      <c r="AX222" s="65"/>
      <c r="AY222" s="65"/>
      <c r="AZ222" s="65"/>
    </row>
    <row r="223" spans="1:52" s="16" customFormat="1">
      <c r="A223" s="28"/>
      <c r="B223" s="148"/>
      <c r="C223" s="188"/>
      <c r="D223" s="21"/>
      <c r="E223" s="27"/>
      <c r="F223" s="27"/>
      <c r="G223" s="27"/>
      <c r="H223" s="27"/>
      <c r="I223" s="27"/>
      <c r="J223" s="27"/>
      <c r="K223" s="27"/>
      <c r="L223" s="27"/>
      <c r="M223" s="27"/>
      <c r="N223" s="27"/>
      <c r="O223" s="27"/>
      <c r="P223" s="27"/>
      <c r="Q223" s="27"/>
      <c r="R223" s="27"/>
      <c r="S223" s="27"/>
      <c r="T223" s="27"/>
      <c r="U223" s="27"/>
      <c r="V223" s="27"/>
      <c r="W223" s="27"/>
      <c r="X223" s="27"/>
      <c r="Y223" s="27"/>
      <c r="Z223" s="27"/>
      <c r="AA223" s="27"/>
      <c r="AB223" s="27"/>
      <c r="AC223" s="28"/>
      <c r="AD223" s="161"/>
      <c r="AE223" s="28"/>
      <c r="AF223" s="28"/>
      <c r="AG223" s="28"/>
      <c r="AH223" s="28"/>
      <c r="AI223" s="28"/>
      <c r="AJ223" s="162"/>
      <c r="AK223" s="153"/>
      <c r="AL223" s="153"/>
      <c r="AM223" s="153"/>
      <c r="AN223" s="317"/>
      <c r="AT223" s="65"/>
      <c r="AU223" s="65"/>
      <c r="AV223" s="65"/>
      <c r="AW223" s="65"/>
      <c r="AX223" s="65"/>
      <c r="AY223" s="65"/>
      <c r="AZ223" s="65"/>
    </row>
    <row r="224" spans="1:52" s="16" customFormat="1">
      <c r="A224" s="28"/>
      <c r="B224" s="46"/>
      <c r="C224" s="77"/>
      <c r="D224" s="144" t="s">
        <v>641</v>
      </c>
      <c r="E224" s="2340" t="s">
        <v>1671</v>
      </c>
      <c r="F224" s="2340"/>
      <c r="G224" s="2340"/>
      <c r="H224" s="2340"/>
      <c r="I224" s="2340"/>
      <c r="J224" s="2340"/>
      <c r="K224" s="2340"/>
      <c r="L224" s="2340"/>
      <c r="M224" s="2340"/>
      <c r="N224" s="2340"/>
      <c r="O224" s="2340"/>
      <c r="P224" s="2340"/>
      <c r="Q224" s="2340"/>
      <c r="R224" s="2340"/>
      <c r="S224" s="2340"/>
      <c r="T224" s="2340"/>
      <c r="U224" s="2340"/>
      <c r="V224" s="2340"/>
      <c r="W224" s="2340"/>
      <c r="X224" s="2340"/>
      <c r="Y224" s="2340"/>
      <c r="Z224" s="2340"/>
      <c r="AA224" s="2340"/>
      <c r="AB224" s="2340"/>
      <c r="AC224" s="46"/>
      <c r="AD224" s="46"/>
      <c r="AF224" s="2378" t="s">
        <v>66</v>
      </c>
      <c r="AG224" s="2378"/>
      <c r="AH224" s="2378"/>
      <c r="AI224" s="2378"/>
      <c r="AJ224" s="2378"/>
      <c r="AK224" s="2378"/>
      <c r="AL224" s="2378"/>
      <c r="AM224" s="153"/>
      <c r="AN224" s="317"/>
      <c r="AT224" s="65"/>
      <c r="AU224" s="65"/>
      <c r="AV224" s="65"/>
      <c r="AW224" s="65"/>
      <c r="AX224" s="65"/>
      <c r="AY224" s="65"/>
      <c r="AZ224" s="65"/>
    </row>
    <row r="225" spans="1:82" s="16" customFormat="1">
      <c r="A225" s="28"/>
      <c r="B225" s="161"/>
      <c r="C225" s="187"/>
      <c r="D225" s="144"/>
      <c r="E225" s="2340"/>
      <c r="F225" s="2340"/>
      <c r="G225" s="2340"/>
      <c r="H225" s="2340"/>
      <c r="I225" s="2340"/>
      <c r="J225" s="2340"/>
      <c r="K225" s="2340"/>
      <c r="L225" s="2340"/>
      <c r="M225" s="2340"/>
      <c r="N225" s="2340"/>
      <c r="O225" s="2340"/>
      <c r="P225" s="2340"/>
      <c r="Q225" s="2340"/>
      <c r="R225" s="2340"/>
      <c r="S225" s="2340"/>
      <c r="T225" s="2340"/>
      <c r="U225" s="2340"/>
      <c r="V225" s="2340"/>
      <c r="W225" s="2340"/>
      <c r="X225" s="2340"/>
      <c r="Y225" s="2340"/>
      <c r="Z225" s="2340"/>
      <c r="AA225" s="2340"/>
      <c r="AB225" s="2340"/>
      <c r="AC225" s="46"/>
      <c r="AD225" s="46"/>
      <c r="AE225" s="28"/>
      <c r="AF225" s="161"/>
      <c r="AG225" s="28"/>
      <c r="AH225" s="28"/>
      <c r="AI225" s="28"/>
      <c r="AJ225" s="28"/>
      <c r="AK225" s="28"/>
      <c r="AL225" s="28"/>
      <c r="AM225" s="153"/>
      <c r="AN225" s="317"/>
      <c r="AT225" s="65"/>
      <c r="AU225" s="65"/>
      <c r="AV225" s="65"/>
      <c r="AW225" s="65"/>
      <c r="AX225" s="65"/>
      <c r="AY225" s="65"/>
      <c r="AZ225" s="65"/>
    </row>
    <row r="226" spans="1:82" s="16" customFormat="1">
      <c r="A226" s="28"/>
      <c r="B226" s="148"/>
      <c r="C226" s="188"/>
      <c r="D226" s="144"/>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46"/>
      <c r="AD226" s="46"/>
      <c r="AE226" s="28"/>
      <c r="AF226" s="161"/>
      <c r="AG226" s="28"/>
      <c r="AH226" s="28"/>
      <c r="AI226" s="28"/>
      <c r="AJ226" s="28"/>
      <c r="AK226" s="28"/>
      <c r="AL226" s="28"/>
      <c r="AM226" s="153"/>
      <c r="AN226" s="317"/>
      <c r="AT226" s="65"/>
      <c r="AU226" s="65"/>
      <c r="AV226" s="65"/>
      <c r="AW226" s="65"/>
      <c r="AX226" s="65"/>
      <c r="AY226" s="65"/>
      <c r="AZ226" s="65"/>
    </row>
    <row r="227" spans="1:82" s="16" customFormat="1" ht="12.75" customHeight="1">
      <c r="A227" s="28"/>
      <c r="B227" s="74"/>
      <c r="C227" s="77"/>
      <c r="D227" s="144" t="s">
        <v>214</v>
      </c>
      <c r="E227" s="2340" t="s">
        <v>981</v>
      </c>
      <c r="F227" s="2340"/>
      <c r="G227" s="2340"/>
      <c r="H227" s="2340"/>
      <c r="I227" s="2340"/>
      <c r="J227" s="2340"/>
      <c r="K227" s="2340"/>
      <c r="L227" s="2340"/>
      <c r="M227" s="2340"/>
      <c r="N227" s="2340"/>
      <c r="O227" s="2340"/>
      <c r="P227" s="2340"/>
      <c r="Q227" s="2340"/>
      <c r="R227" s="2340"/>
      <c r="S227" s="2340"/>
      <c r="T227" s="2340"/>
      <c r="U227" s="2340"/>
      <c r="V227" s="2340"/>
      <c r="W227" s="2340"/>
      <c r="X227" s="2340"/>
      <c r="Y227" s="2340"/>
      <c r="Z227" s="2340"/>
      <c r="AA227" s="2340"/>
      <c r="AB227" s="2340"/>
      <c r="AC227" s="46"/>
      <c r="AD227" s="46"/>
      <c r="AF227" s="2378" t="s">
        <v>114</v>
      </c>
      <c r="AG227" s="2378"/>
      <c r="AH227" s="2378"/>
      <c r="AI227" s="2378"/>
      <c r="AJ227" s="2378"/>
      <c r="AK227" s="2378"/>
      <c r="AL227" s="2378"/>
      <c r="AM227" s="153"/>
      <c r="AN227" s="317"/>
      <c r="AT227" s="65"/>
      <c r="AU227" s="65"/>
      <c r="AV227" s="65"/>
      <c r="AW227" s="65"/>
      <c r="AX227" s="65"/>
      <c r="AY227" s="65"/>
      <c r="AZ227" s="65"/>
    </row>
    <row r="228" spans="1:82" s="16" customFormat="1">
      <c r="A228" s="28"/>
      <c r="B228" s="161"/>
      <c r="C228" s="187"/>
      <c r="D228" s="28"/>
      <c r="E228" s="2340"/>
      <c r="F228" s="2340"/>
      <c r="G228" s="2340"/>
      <c r="H228" s="2340"/>
      <c r="I228" s="2340"/>
      <c r="J228" s="2340"/>
      <c r="K228" s="2340"/>
      <c r="L228" s="2340"/>
      <c r="M228" s="2340"/>
      <c r="N228" s="2340"/>
      <c r="O228" s="2340"/>
      <c r="P228" s="2340"/>
      <c r="Q228" s="2340"/>
      <c r="R228" s="2340"/>
      <c r="S228" s="2340"/>
      <c r="T228" s="2340"/>
      <c r="U228" s="2340"/>
      <c r="V228" s="2340"/>
      <c r="W228" s="2340"/>
      <c r="X228" s="2340"/>
      <c r="Y228" s="2340"/>
      <c r="Z228" s="2340"/>
      <c r="AA228" s="2340"/>
      <c r="AB228" s="2340"/>
      <c r="AC228" s="28"/>
      <c r="AD228" s="161"/>
      <c r="AE228" s="28"/>
      <c r="AF228" s="28"/>
      <c r="AG228" s="28"/>
      <c r="AH228" s="28"/>
      <c r="AI228" s="28"/>
      <c r="AJ228" s="46"/>
      <c r="AK228" s="153"/>
      <c r="AL228" s="153"/>
      <c r="AM228" s="153"/>
      <c r="AN228" s="317"/>
      <c r="AT228" s="65"/>
      <c r="AU228" s="65"/>
      <c r="AV228" s="65"/>
      <c r="AW228" s="65"/>
      <c r="AX228" s="65"/>
      <c r="AY228" s="65"/>
      <c r="AZ228" s="65"/>
    </row>
    <row r="229" spans="1:82" s="16" customFormat="1">
      <c r="A229" s="28"/>
      <c r="B229" s="161"/>
      <c r="C229" s="187"/>
      <c r="D229" s="28"/>
      <c r="E229" s="174"/>
      <c r="F229" s="174"/>
      <c r="G229" s="174"/>
      <c r="H229" s="174"/>
      <c r="I229" s="174"/>
      <c r="J229" s="174"/>
      <c r="K229" s="174"/>
      <c r="L229" s="174"/>
      <c r="M229" s="174"/>
      <c r="N229" s="174"/>
      <c r="O229" s="174"/>
      <c r="P229" s="174"/>
      <c r="Q229" s="174"/>
      <c r="R229" s="174"/>
      <c r="S229" s="174"/>
      <c r="T229" s="174"/>
      <c r="U229" s="174"/>
      <c r="V229" s="174"/>
      <c r="W229" s="174"/>
      <c r="X229" s="174"/>
      <c r="Y229" s="174"/>
      <c r="Z229" s="174"/>
      <c r="AA229" s="174"/>
      <c r="AB229" s="174"/>
      <c r="AC229" s="28"/>
      <c r="AD229" s="161"/>
      <c r="AE229" s="28"/>
      <c r="AF229" s="28"/>
      <c r="AG229" s="28"/>
      <c r="AH229" s="28"/>
      <c r="AI229" s="28"/>
      <c r="AJ229" s="46"/>
      <c r="AK229" s="153"/>
      <c r="AL229" s="153"/>
      <c r="AM229" s="153"/>
      <c r="AN229" s="317"/>
      <c r="AT229" s="65"/>
      <c r="AU229" s="65"/>
      <c r="AV229" s="65"/>
      <c r="AW229" s="65"/>
      <c r="AX229" s="65"/>
      <c r="AY229" s="65"/>
      <c r="AZ229" s="65"/>
    </row>
    <row r="230" spans="1:82" s="16" customFormat="1" ht="12.75" customHeight="1">
      <c r="A230" s="28"/>
      <c r="B230" s="161"/>
      <c r="C230" s="187"/>
      <c r="D230" s="28" t="s">
        <v>163</v>
      </c>
      <c r="E230" s="190"/>
      <c r="F230" s="190"/>
      <c r="G230" s="190"/>
      <c r="H230" s="2388" t="s">
        <v>136</v>
      </c>
      <c r="I230" s="2388"/>
      <c r="J230" s="174"/>
      <c r="K230" s="174"/>
      <c r="L230" s="174"/>
      <c r="M230" s="174"/>
      <c r="N230" s="174"/>
      <c r="O230" s="174"/>
      <c r="P230" s="174"/>
      <c r="Q230" s="174"/>
      <c r="R230" s="174"/>
      <c r="S230" s="174"/>
      <c r="T230" s="174"/>
      <c r="U230" s="174"/>
      <c r="V230" s="174"/>
      <c r="W230" s="174"/>
      <c r="X230" s="174"/>
      <c r="Y230" s="174"/>
      <c r="Z230" s="174"/>
      <c r="AA230" s="174"/>
      <c r="AB230" s="174"/>
      <c r="AC230" s="28"/>
      <c r="AD230" s="161"/>
      <c r="AE230" s="28"/>
      <c r="AF230" s="28"/>
      <c r="AG230" s="28"/>
      <c r="AH230" s="28"/>
      <c r="AI230" s="28"/>
      <c r="AJ230" s="46"/>
      <c r="AK230" s="153"/>
      <c r="AL230" s="153"/>
      <c r="AM230" s="153"/>
      <c r="AN230" s="317"/>
      <c r="AT230" s="65"/>
      <c r="AU230" s="65"/>
      <c r="AV230" s="65"/>
      <c r="AW230" s="65"/>
      <c r="AX230" s="65"/>
      <c r="AY230" s="65"/>
      <c r="AZ230" s="65"/>
    </row>
    <row r="231" spans="1:82" s="16" customFormat="1">
      <c r="A231" s="28"/>
      <c r="B231" s="161"/>
      <c r="C231" s="187"/>
      <c r="D231" s="28"/>
      <c r="E231" s="174"/>
      <c r="F231" s="174"/>
      <c r="G231" s="174"/>
      <c r="H231" s="174"/>
      <c r="I231" s="174"/>
      <c r="J231" s="174"/>
      <c r="K231" s="174"/>
      <c r="L231" s="174"/>
      <c r="M231" s="174"/>
      <c r="N231" s="174"/>
      <c r="O231" s="174"/>
      <c r="P231" s="174"/>
      <c r="Q231" s="174"/>
      <c r="R231" s="174"/>
      <c r="S231" s="174"/>
      <c r="T231" s="174"/>
      <c r="U231" s="174"/>
      <c r="V231" s="174"/>
      <c r="W231" s="174"/>
      <c r="X231" s="174"/>
      <c r="Y231" s="174"/>
      <c r="Z231" s="174"/>
      <c r="AA231" s="174"/>
      <c r="AB231" s="174"/>
      <c r="AC231" s="28"/>
      <c r="AD231" s="161"/>
      <c r="AE231" s="28"/>
      <c r="AF231" s="28"/>
      <c r="AG231" s="28"/>
      <c r="AH231" s="28"/>
      <c r="AI231" s="28"/>
      <c r="AJ231" s="46"/>
      <c r="AK231" s="153"/>
      <c r="AL231" s="153"/>
      <c r="AM231" s="153"/>
      <c r="AN231" s="317"/>
      <c r="AS231" s="65"/>
      <c r="AT231" s="65"/>
      <c r="AU231" s="65"/>
      <c r="AV231" s="65"/>
      <c r="AW231" s="65"/>
      <c r="AX231" s="65"/>
      <c r="AY231" s="65"/>
      <c r="AZ231" s="65"/>
      <c r="BA231" s="65"/>
      <c r="BB231" s="65"/>
      <c r="BC231" s="65"/>
      <c r="BD231" s="68"/>
      <c r="BE231" s="68"/>
      <c r="BF231" s="68"/>
      <c r="BG231" s="68"/>
      <c r="BH231" s="68"/>
      <c r="BI231" s="65"/>
      <c r="BJ231" s="65"/>
      <c r="BK231" s="65"/>
      <c r="BL231" s="65"/>
      <c r="BM231" s="65"/>
      <c r="BN231" s="65"/>
      <c r="BO231" s="65"/>
      <c r="BP231" s="65"/>
      <c r="BQ231" s="65"/>
      <c r="BR231" s="65"/>
      <c r="BS231" s="65"/>
      <c r="BT231" s="65"/>
      <c r="BU231" s="65"/>
      <c r="BV231" s="65"/>
      <c r="BW231" s="65"/>
      <c r="BX231" s="65"/>
      <c r="BY231" s="65"/>
      <c r="BZ231" s="65"/>
      <c r="CA231" s="65"/>
      <c r="CB231" s="65"/>
      <c r="CC231" s="65"/>
      <c r="CD231" s="65"/>
    </row>
    <row r="232" spans="1:82" s="16" customFormat="1">
      <c r="A232" s="191"/>
      <c r="B232" s="159"/>
      <c r="C232" s="192"/>
      <c r="D232" s="167"/>
      <c r="E232" s="210"/>
      <c r="F232" s="210"/>
      <c r="G232" s="210"/>
      <c r="H232" s="210"/>
      <c r="I232" s="210"/>
      <c r="J232" s="210"/>
      <c r="K232" s="210"/>
      <c r="L232" s="210"/>
      <c r="M232" s="210"/>
      <c r="N232" s="210"/>
      <c r="O232" s="210"/>
      <c r="P232" s="210"/>
      <c r="Q232" s="210"/>
      <c r="R232" s="210"/>
      <c r="S232" s="210"/>
      <c r="T232" s="210"/>
      <c r="U232" s="210"/>
      <c r="V232" s="201"/>
      <c r="W232" s="201"/>
      <c r="X232" s="201"/>
      <c r="Y232" s="193"/>
      <c r="Z232" s="193"/>
      <c r="AA232" s="193"/>
      <c r="AB232" s="167"/>
      <c r="AC232" s="159"/>
      <c r="AD232" s="167"/>
      <c r="AE232" s="167"/>
      <c r="AF232" s="167"/>
      <c r="AG232" s="167"/>
      <c r="AH232" s="167"/>
      <c r="AI232" s="139" t="s">
        <v>341</v>
      </c>
      <c r="AJ232" s="2373">
        <f>VLOOKUP($H$230,$AO$170:$AP$172,2,FALSE)</f>
        <v>0</v>
      </c>
      <c r="AK232" s="2374"/>
      <c r="AL232" s="25"/>
      <c r="AM232" s="137"/>
      <c r="AN232" s="317"/>
      <c r="AS232" s="65"/>
      <c r="AT232" s="65"/>
      <c r="AU232" s="65"/>
      <c r="AV232" s="65"/>
      <c r="AW232" s="65"/>
      <c r="AX232" s="65"/>
      <c r="AY232" s="65"/>
      <c r="AZ232" s="65"/>
      <c r="BA232" s="65"/>
      <c r="BB232" s="65"/>
      <c r="BC232" s="65"/>
      <c r="BD232" s="68"/>
      <c r="BE232" s="68"/>
      <c r="BF232" s="68"/>
      <c r="BG232" s="68"/>
      <c r="BH232" s="68"/>
      <c r="BI232" s="65"/>
      <c r="BJ232" s="65"/>
      <c r="BK232" s="65"/>
      <c r="BL232" s="65"/>
      <c r="BM232" s="65"/>
      <c r="BN232" s="65"/>
      <c r="BO232" s="65"/>
      <c r="BP232" s="65"/>
      <c r="BQ232" s="65"/>
      <c r="BR232" s="65"/>
      <c r="BS232" s="65"/>
      <c r="BT232" s="65"/>
      <c r="BU232" s="65"/>
      <c r="BV232" s="65"/>
      <c r="BW232" s="65"/>
      <c r="BX232" s="65"/>
      <c r="BY232" s="65"/>
      <c r="BZ232" s="65"/>
      <c r="CA232" s="65"/>
      <c r="CB232" s="65"/>
      <c r="CC232" s="65"/>
      <c r="CD232" s="65"/>
    </row>
    <row r="233" spans="1:82" s="16" customFormat="1" ht="12.75" customHeight="1">
      <c r="A233" s="28"/>
      <c r="B233" s="161"/>
      <c r="C233" s="187"/>
      <c r="D233" s="46"/>
      <c r="E233" s="46"/>
      <c r="F233" s="46"/>
      <c r="G233" s="46"/>
      <c r="H233" s="46"/>
      <c r="I233" s="46"/>
      <c r="J233" s="174"/>
      <c r="K233" s="174"/>
      <c r="L233" s="174"/>
      <c r="M233" s="174"/>
      <c r="N233" s="46"/>
      <c r="O233" s="46"/>
      <c r="P233" s="46"/>
      <c r="Q233" s="46"/>
      <c r="R233" s="46"/>
      <c r="S233" s="46"/>
      <c r="T233" s="46"/>
      <c r="U233" s="46"/>
      <c r="V233" s="46"/>
      <c r="W233" s="46"/>
      <c r="X233" s="46"/>
      <c r="Y233" s="46"/>
      <c r="Z233" s="46"/>
      <c r="AA233" s="46"/>
      <c r="AB233" s="46"/>
      <c r="AC233" s="46"/>
      <c r="AD233" s="46"/>
      <c r="AE233" s="46"/>
      <c r="AF233" s="46"/>
      <c r="AG233" s="46"/>
      <c r="AH233" s="46"/>
      <c r="AI233" s="46"/>
      <c r="AJ233" s="46"/>
      <c r="AK233" s="46"/>
      <c r="AL233" s="46"/>
      <c r="AM233" s="46"/>
      <c r="AN233" s="317"/>
      <c r="AS233" s="65"/>
      <c r="AT233" s="65"/>
      <c r="AU233" s="65"/>
      <c r="AV233" s="65"/>
      <c r="AW233" s="65"/>
      <c r="AX233" s="65"/>
      <c r="AY233" s="65"/>
      <c r="AZ233" s="65"/>
      <c r="BA233" s="65"/>
      <c r="BB233" s="65"/>
      <c r="BC233" s="65"/>
      <c r="BD233" s="68"/>
      <c r="BE233" s="68"/>
      <c r="BF233" s="68"/>
      <c r="BG233" s="68"/>
      <c r="BH233" s="68"/>
      <c r="BI233" s="65"/>
      <c r="BJ233" s="65"/>
      <c r="BK233" s="65"/>
      <c r="BL233" s="65"/>
      <c r="BM233" s="65"/>
      <c r="BN233" s="65"/>
      <c r="BO233" s="65"/>
      <c r="BP233" s="65"/>
      <c r="BQ233" s="65"/>
      <c r="BR233" s="65"/>
      <c r="BS233" s="65"/>
      <c r="BT233" s="65"/>
      <c r="BU233" s="65"/>
      <c r="BV233" s="65"/>
      <c r="BW233" s="65"/>
      <c r="BX233" s="65"/>
      <c r="BY233" s="65"/>
      <c r="BZ233" s="65"/>
      <c r="CA233" s="65"/>
      <c r="CB233" s="65"/>
      <c r="CC233" s="65"/>
      <c r="CD233" s="65"/>
    </row>
    <row r="234" spans="1:82" s="16" customFormat="1" ht="12.75" customHeight="1">
      <c r="A234" s="46"/>
      <c r="B234" s="46"/>
      <c r="C234" s="48" t="s">
        <v>220</v>
      </c>
      <c r="D234" s="46"/>
      <c r="E234" s="46"/>
      <c r="F234" s="46"/>
      <c r="G234" s="46"/>
      <c r="H234" s="46"/>
      <c r="I234" s="46"/>
      <c r="J234" s="46"/>
      <c r="K234" s="46"/>
      <c r="L234" s="46"/>
      <c r="M234" s="46"/>
      <c r="N234" s="46"/>
      <c r="O234" s="46"/>
      <c r="P234" s="46"/>
      <c r="Q234" s="46"/>
      <c r="R234" s="46"/>
      <c r="S234" s="46"/>
      <c r="T234" s="46"/>
      <c r="U234" s="46"/>
      <c r="V234" s="46"/>
      <c r="W234" s="46"/>
      <c r="X234" s="46"/>
      <c r="Y234" s="46"/>
      <c r="Z234" s="46"/>
      <c r="AA234" s="46"/>
      <c r="AB234" s="46"/>
      <c r="AC234" s="46"/>
      <c r="AD234" s="46"/>
      <c r="AE234" s="46"/>
      <c r="AF234" s="46"/>
      <c r="AG234" s="46"/>
      <c r="AH234" s="46"/>
      <c r="AI234" s="46"/>
      <c r="AJ234" s="46"/>
      <c r="AK234" s="46"/>
      <c r="AL234" s="46"/>
      <c r="AM234" s="46"/>
      <c r="AN234" s="317"/>
      <c r="AS234" s="65"/>
      <c r="AT234" s="65"/>
      <c r="AU234" s="65"/>
      <c r="AV234" s="65"/>
      <c r="AW234" s="65"/>
      <c r="AX234" s="65"/>
      <c r="AY234" s="65"/>
      <c r="AZ234" s="65"/>
      <c r="BA234" s="65"/>
      <c r="BB234" s="65"/>
      <c r="BC234" s="65"/>
      <c r="BD234" s="68"/>
      <c r="BE234" s="68"/>
      <c r="BF234" s="68"/>
      <c r="BG234" s="68"/>
      <c r="BH234" s="68"/>
      <c r="BI234" s="65"/>
      <c r="BJ234" s="65"/>
      <c r="BK234" s="65"/>
      <c r="BL234" s="65"/>
      <c r="BM234" s="65"/>
      <c r="BN234" s="65"/>
      <c r="BO234" s="65"/>
      <c r="BP234" s="65"/>
      <c r="BQ234" s="65"/>
      <c r="BR234" s="65"/>
      <c r="BS234" s="65"/>
      <c r="BT234" s="65"/>
      <c r="BU234" s="65"/>
      <c r="BV234" s="65"/>
      <c r="BW234" s="65"/>
      <c r="BX234" s="65"/>
      <c r="BY234" s="65"/>
      <c r="BZ234" s="65"/>
      <c r="CA234" s="65"/>
      <c r="CB234" s="65"/>
      <c r="CC234" s="65"/>
      <c r="CD234" s="65"/>
    </row>
    <row r="235" spans="1:82" s="16" customFormat="1">
      <c r="A235" s="28"/>
      <c r="B235" s="148"/>
      <c r="C235" s="216"/>
      <c r="D235" s="57"/>
      <c r="E235" s="57"/>
      <c r="F235" s="28"/>
      <c r="G235" s="28"/>
      <c r="H235" s="57"/>
      <c r="I235" s="57"/>
      <c r="J235" s="57"/>
      <c r="K235" s="57"/>
      <c r="L235" s="57"/>
      <c r="M235" s="57"/>
      <c r="N235" s="57"/>
      <c r="O235" s="57"/>
      <c r="P235" s="57"/>
      <c r="Q235" s="57"/>
      <c r="R235" s="57"/>
      <c r="S235" s="57"/>
      <c r="T235" s="28"/>
      <c r="U235" s="28"/>
      <c r="V235" s="28"/>
      <c r="W235" s="28"/>
      <c r="X235" s="195"/>
      <c r="Y235" s="195"/>
      <c r="Z235" s="195"/>
      <c r="AA235" s="195"/>
      <c r="AB235" s="195"/>
      <c r="AC235" s="31"/>
      <c r="AD235" s="161"/>
      <c r="AE235" s="28"/>
      <c r="AF235" s="28"/>
      <c r="AG235" s="28"/>
      <c r="AH235" s="28"/>
      <c r="AI235" s="28"/>
      <c r="AJ235" s="46"/>
      <c r="AK235" s="153"/>
      <c r="AL235" s="153"/>
      <c r="AM235" s="153"/>
      <c r="AN235" s="317"/>
      <c r="AS235" s="65"/>
      <c r="AT235" s="65"/>
      <c r="AU235" s="65"/>
      <c r="AV235" s="65"/>
      <c r="AW235" s="65"/>
      <c r="AX235" s="65"/>
      <c r="AY235" s="65"/>
      <c r="AZ235" s="65"/>
      <c r="BA235" s="65"/>
      <c r="BB235" s="65"/>
      <c r="BC235" s="65"/>
      <c r="BD235" s="68"/>
      <c r="BE235" s="68"/>
      <c r="BF235" s="68"/>
      <c r="BG235" s="68"/>
      <c r="BH235" s="68"/>
      <c r="BI235" s="65"/>
      <c r="BJ235" s="65"/>
      <c r="BK235" s="65"/>
      <c r="BL235" s="65"/>
      <c r="BM235" s="65"/>
      <c r="BN235" s="65"/>
      <c r="BO235" s="65"/>
      <c r="BP235" s="65"/>
      <c r="BQ235" s="65"/>
      <c r="BR235" s="65"/>
      <c r="BS235" s="65"/>
      <c r="BT235" s="65"/>
      <c r="BU235" s="65"/>
      <c r="BV235" s="65"/>
      <c r="BW235" s="65"/>
      <c r="BX235" s="65"/>
      <c r="BY235" s="65"/>
      <c r="BZ235" s="65"/>
      <c r="CA235" s="65"/>
      <c r="CB235" s="65"/>
      <c r="CC235" s="65"/>
      <c r="CD235" s="65"/>
    </row>
    <row r="236" spans="1:82" s="16" customFormat="1">
      <c r="A236" s="28"/>
      <c r="B236" s="46"/>
      <c r="C236" s="77"/>
      <c r="D236" s="144" t="s">
        <v>641</v>
      </c>
      <c r="E236" s="2340" t="s">
        <v>1245</v>
      </c>
      <c r="F236" s="2340"/>
      <c r="G236" s="2340"/>
      <c r="H236" s="2340"/>
      <c r="I236" s="2340"/>
      <c r="J236" s="2340"/>
      <c r="K236" s="2340"/>
      <c r="L236" s="2340"/>
      <c r="M236" s="2340"/>
      <c r="N236" s="2340"/>
      <c r="O236" s="2340"/>
      <c r="P236" s="2340"/>
      <c r="Q236" s="2340"/>
      <c r="R236" s="2340"/>
      <c r="S236" s="2340"/>
      <c r="T236" s="2340"/>
      <c r="U236" s="2340"/>
      <c r="V236" s="2340"/>
      <c r="W236" s="2340"/>
      <c r="X236" s="2340"/>
      <c r="Y236" s="2340"/>
      <c r="Z236" s="2340"/>
      <c r="AA236" s="2340"/>
      <c r="AB236" s="2340"/>
      <c r="AC236" s="46"/>
      <c r="AD236" s="46"/>
      <c r="AF236" s="2378" t="s">
        <v>66</v>
      </c>
      <c r="AG236" s="2378"/>
      <c r="AH236" s="2378"/>
      <c r="AI236" s="2378"/>
      <c r="AJ236" s="2378"/>
      <c r="AK236" s="2378"/>
      <c r="AL236" s="2378"/>
      <c r="AM236" s="153"/>
      <c r="AN236" s="317"/>
      <c r="AT236" s="65"/>
      <c r="AU236" s="65"/>
      <c r="AV236" s="65"/>
      <c r="AW236" s="65"/>
      <c r="AX236" s="65"/>
      <c r="AY236" s="65"/>
      <c r="AZ236" s="65"/>
    </row>
    <row r="237" spans="1:82" s="16" customFormat="1">
      <c r="A237" s="28"/>
      <c r="B237" s="161"/>
      <c r="C237" s="187"/>
      <c r="D237" s="144"/>
      <c r="E237" s="2340"/>
      <c r="F237" s="2340"/>
      <c r="G237" s="2340"/>
      <c r="H237" s="2340"/>
      <c r="I237" s="2340"/>
      <c r="J237" s="2340"/>
      <c r="K237" s="2340"/>
      <c r="L237" s="2340"/>
      <c r="M237" s="2340"/>
      <c r="N237" s="2340"/>
      <c r="O237" s="2340"/>
      <c r="P237" s="2340"/>
      <c r="Q237" s="2340"/>
      <c r="R237" s="2340"/>
      <c r="S237" s="2340"/>
      <c r="T237" s="2340"/>
      <c r="U237" s="2340"/>
      <c r="V237" s="2340"/>
      <c r="W237" s="2340"/>
      <c r="X237" s="2340"/>
      <c r="Y237" s="2340"/>
      <c r="Z237" s="2340"/>
      <c r="AA237" s="2340"/>
      <c r="AB237" s="2340"/>
      <c r="AC237" s="46"/>
      <c r="AD237" s="46"/>
      <c r="AL237" s="153"/>
      <c r="AM237" s="153"/>
      <c r="AN237" s="317"/>
    </row>
    <row r="238" spans="1:82" s="50" customFormat="1" ht="12.75" customHeight="1">
      <c r="A238" s="28"/>
      <c r="B238" s="161"/>
      <c r="C238" s="187"/>
      <c r="D238" s="144"/>
      <c r="E238" s="2340"/>
      <c r="F238" s="2340"/>
      <c r="G238" s="2340"/>
      <c r="H238" s="2340"/>
      <c r="I238" s="2340"/>
      <c r="J238" s="2340"/>
      <c r="K238" s="2340"/>
      <c r="L238" s="2340"/>
      <c r="M238" s="2340"/>
      <c r="N238" s="2340"/>
      <c r="O238" s="2340"/>
      <c r="P238" s="2340"/>
      <c r="Q238" s="2340"/>
      <c r="R238" s="2340"/>
      <c r="S238" s="2340"/>
      <c r="T238" s="2340"/>
      <c r="U238" s="2340"/>
      <c r="V238" s="2340"/>
      <c r="W238" s="2340"/>
      <c r="X238" s="2340"/>
      <c r="Y238" s="2340"/>
      <c r="Z238" s="2340"/>
      <c r="AA238" s="2340"/>
      <c r="AB238" s="2340"/>
      <c r="AC238" s="46"/>
      <c r="AD238" s="46"/>
      <c r="AE238" s="28"/>
      <c r="AF238" s="161"/>
      <c r="AG238" s="153"/>
      <c r="AH238" s="153"/>
      <c r="AI238" s="153"/>
      <c r="AJ238" s="153"/>
      <c r="AK238" s="153"/>
      <c r="AL238" s="153"/>
      <c r="AM238" s="153"/>
      <c r="AN238" s="1144"/>
      <c r="AO238" s="70"/>
    </row>
    <row r="239" spans="1:82" s="16" customFormat="1">
      <c r="A239" s="195"/>
      <c r="B239" s="25"/>
      <c r="C239" s="188"/>
      <c r="D239" s="144"/>
      <c r="E239" s="539"/>
      <c r="F239" s="539"/>
      <c r="G239" s="539"/>
      <c r="H239" s="539"/>
      <c r="I239" s="539"/>
      <c r="J239" s="539"/>
      <c r="K239" s="539"/>
      <c r="L239" s="539"/>
      <c r="M239" s="539"/>
      <c r="N239" s="539"/>
      <c r="O239" s="539"/>
      <c r="P239" s="539"/>
      <c r="Q239" s="539"/>
      <c r="R239" s="539"/>
      <c r="S239" s="539"/>
      <c r="T239" s="539"/>
      <c r="U239" s="539"/>
      <c r="V239" s="539"/>
      <c r="W239" s="539"/>
      <c r="X239" s="539"/>
      <c r="Y239" s="539"/>
      <c r="Z239" s="539"/>
      <c r="AA239" s="539"/>
      <c r="AB239" s="539"/>
      <c r="AC239" s="46"/>
      <c r="AD239" s="46"/>
      <c r="AE239" s="153"/>
      <c r="AM239" s="153"/>
      <c r="AN239" s="317"/>
      <c r="AO239" s="132"/>
      <c r="AP239" s="65"/>
    </row>
    <row r="240" spans="1:82" s="16" customFormat="1">
      <c r="A240" s="28"/>
      <c r="B240" s="74"/>
      <c r="C240" s="77"/>
      <c r="D240" s="144" t="s">
        <v>214</v>
      </c>
      <c r="E240" s="2340" t="s">
        <v>1246</v>
      </c>
      <c r="F240" s="2340"/>
      <c r="G240" s="2340"/>
      <c r="H240" s="2340"/>
      <c r="I240" s="2340"/>
      <c r="J240" s="2340"/>
      <c r="K240" s="2340"/>
      <c r="L240" s="2340"/>
      <c r="M240" s="2340"/>
      <c r="N240" s="2340"/>
      <c r="O240" s="2340"/>
      <c r="P240" s="2340"/>
      <c r="Q240" s="2340"/>
      <c r="R240" s="2340"/>
      <c r="S240" s="2340"/>
      <c r="T240" s="2340"/>
      <c r="U240" s="2340"/>
      <c r="V240" s="2340"/>
      <c r="W240" s="2340"/>
      <c r="X240" s="2340"/>
      <c r="Y240" s="2340"/>
      <c r="Z240" s="2340"/>
      <c r="AA240" s="2340"/>
      <c r="AB240" s="540"/>
      <c r="AC240" s="46"/>
      <c r="AD240" s="46"/>
      <c r="AF240" s="2378" t="s">
        <v>114</v>
      </c>
      <c r="AG240" s="2378"/>
      <c r="AH240" s="2378"/>
      <c r="AI240" s="2378"/>
      <c r="AJ240" s="2378"/>
      <c r="AK240" s="2378"/>
      <c r="AL240" s="2378"/>
      <c r="AM240" s="153"/>
      <c r="AN240" s="317"/>
      <c r="AO240" s="132"/>
      <c r="AP240" s="65"/>
    </row>
    <row r="241" spans="1:74" s="16" customFormat="1">
      <c r="A241" s="28"/>
      <c r="B241" s="74"/>
      <c r="C241" s="77"/>
      <c r="D241" s="28"/>
      <c r="E241" s="2340"/>
      <c r="F241" s="2340"/>
      <c r="G241" s="2340"/>
      <c r="H241" s="2340"/>
      <c r="I241" s="2340"/>
      <c r="J241" s="2340"/>
      <c r="K241" s="2340"/>
      <c r="L241" s="2340"/>
      <c r="M241" s="2340"/>
      <c r="N241" s="2340"/>
      <c r="O241" s="2340"/>
      <c r="P241" s="2340"/>
      <c r="Q241" s="2340"/>
      <c r="R241" s="2340"/>
      <c r="S241" s="2340"/>
      <c r="T241" s="2340"/>
      <c r="U241" s="2340"/>
      <c r="V241" s="2340"/>
      <c r="W241" s="2340"/>
      <c r="X241" s="2340"/>
      <c r="Y241" s="2340"/>
      <c r="Z241" s="2340"/>
      <c r="AA241" s="2340"/>
      <c r="AB241" s="540"/>
      <c r="AC241" s="179"/>
      <c r="AD241" s="179"/>
      <c r="AE241" s="179"/>
      <c r="AF241" s="179"/>
      <c r="AG241" s="179"/>
      <c r="AH241" s="179"/>
      <c r="AI241" s="179"/>
      <c r="AJ241" s="46"/>
      <c r="AK241" s="153"/>
      <c r="AL241" s="153"/>
      <c r="AM241" s="153"/>
      <c r="AN241" s="317"/>
      <c r="AO241" s="132"/>
      <c r="AP241" s="65"/>
    </row>
    <row r="242" spans="1:74" s="16" customFormat="1">
      <c r="A242" s="28"/>
      <c r="B242" s="74"/>
      <c r="C242" s="77"/>
      <c r="D242" s="28"/>
      <c r="E242" s="2340"/>
      <c r="F242" s="2340"/>
      <c r="G242" s="2340"/>
      <c r="H242" s="2340"/>
      <c r="I242" s="2340"/>
      <c r="J242" s="2340"/>
      <c r="K242" s="2340"/>
      <c r="L242" s="2340"/>
      <c r="M242" s="2340"/>
      <c r="N242" s="2340"/>
      <c r="O242" s="2340"/>
      <c r="P242" s="2340"/>
      <c r="Q242" s="2340"/>
      <c r="R242" s="2340"/>
      <c r="S242" s="2340"/>
      <c r="T242" s="2340"/>
      <c r="U242" s="2340"/>
      <c r="V242" s="2340"/>
      <c r="W242" s="2340"/>
      <c r="X242" s="2340"/>
      <c r="Y242" s="2340"/>
      <c r="Z242" s="2340"/>
      <c r="AA242" s="2340"/>
      <c r="AB242" s="540"/>
      <c r="AC242" s="179"/>
      <c r="AD242" s="179"/>
      <c r="AE242" s="179"/>
      <c r="AF242" s="179"/>
      <c r="AG242" s="179"/>
      <c r="AH242" s="179"/>
      <c r="AI242" s="179"/>
      <c r="AJ242" s="46"/>
      <c r="AK242" s="153"/>
      <c r="AL242" s="153"/>
      <c r="AM242" s="153"/>
      <c r="AN242" s="317"/>
      <c r="AO242" s="132"/>
      <c r="AP242" s="65"/>
    </row>
    <row r="243" spans="1:74" s="16" customFormat="1">
      <c r="A243" s="28"/>
      <c r="B243" s="74"/>
      <c r="C243" s="77"/>
      <c r="D243" s="28"/>
      <c r="E243" s="163"/>
      <c r="F243" s="163"/>
      <c r="G243" s="163"/>
      <c r="H243" s="163"/>
      <c r="I243" s="163"/>
      <c r="J243" s="163"/>
      <c r="K243" s="163"/>
      <c r="L243" s="163"/>
      <c r="M243" s="163"/>
      <c r="N243" s="163"/>
      <c r="O243" s="163"/>
      <c r="P243" s="163"/>
      <c r="Q243" s="163"/>
      <c r="R243" s="163"/>
      <c r="S243" s="163"/>
      <c r="T243" s="163"/>
      <c r="U243" s="163"/>
      <c r="V243" s="163"/>
      <c r="W243" s="163"/>
      <c r="X243" s="163"/>
      <c r="Y243" s="163"/>
      <c r="Z243" s="163"/>
      <c r="AA243" s="163"/>
      <c r="AB243" s="163"/>
      <c r="AC243" s="179"/>
      <c r="AD243" s="179"/>
      <c r="AE243" s="179"/>
      <c r="AF243" s="179"/>
      <c r="AG243" s="179"/>
      <c r="AH243" s="179"/>
      <c r="AI243" s="179"/>
      <c r="AJ243" s="46"/>
      <c r="AK243" s="153"/>
      <c r="AL243" s="153"/>
      <c r="AM243" s="153"/>
      <c r="AN243" s="317"/>
    </row>
    <row r="244" spans="1:74" s="16" customFormat="1" ht="12.75" customHeight="1">
      <c r="A244" s="28"/>
      <c r="B244" s="74"/>
      <c r="C244" s="77"/>
      <c r="D244" s="28" t="s">
        <v>163</v>
      </c>
      <c r="E244" s="190"/>
      <c r="F244" s="190"/>
      <c r="G244" s="190"/>
      <c r="H244" s="2388" t="s">
        <v>136</v>
      </c>
      <c r="I244" s="2388"/>
      <c r="J244" s="163"/>
      <c r="K244" s="163"/>
      <c r="L244" s="163"/>
      <c r="M244" s="163"/>
      <c r="N244" s="163"/>
      <c r="O244" s="163"/>
      <c r="P244" s="163"/>
      <c r="Q244" s="163"/>
      <c r="R244" s="163"/>
      <c r="S244" s="163"/>
      <c r="T244" s="163"/>
      <c r="U244" s="163"/>
      <c r="V244" s="163"/>
      <c r="W244" s="163"/>
      <c r="X244" s="163"/>
      <c r="Y244" s="163"/>
      <c r="Z244" s="163"/>
      <c r="AA244" s="163"/>
      <c r="AB244" s="163"/>
      <c r="AC244" s="179"/>
      <c r="AD244" s="179"/>
      <c r="AE244" s="179"/>
      <c r="AF244" s="179"/>
      <c r="AG244" s="179"/>
      <c r="AH244" s="179"/>
      <c r="AI244" s="179"/>
      <c r="AJ244" s="46"/>
      <c r="AK244" s="153"/>
      <c r="AL244" s="153"/>
      <c r="AM244" s="153"/>
      <c r="AN244" s="317"/>
    </row>
    <row r="245" spans="1:74" s="16" customFormat="1" ht="12.75" customHeight="1">
      <c r="A245" s="28"/>
      <c r="B245" s="74"/>
      <c r="C245" s="77"/>
      <c r="D245" s="28"/>
      <c r="E245" s="163"/>
      <c r="F245" s="163"/>
      <c r="G245" s="163"/>
      <c r="H245" s="163"/>
      <c r="I245" s="163"/>
      <c r="J245" s="163"/>
      <c r="K245" s="163"/>
      <c r="L245" s="163"/>
      <c r="M245" s="163"/>
      <c r="N245" s="163"/>
      <c r="O245" s="163"/>
      <c r="P245" s="163"/>
      <c r="Q245" s="163"/>
      <c r="R245" s="163"/>
      <c r="S245" s="163"/>
      <c r="T245" s="163"/>
      <c r="U245" s="163"/>
      <c r="V245" s="163"/>
      <c r="W245" s="163"/>
      <c r="X245" s="163"/>
      <c r="Y245" s="163"/>
      <c r="Z245" s="163"/>
      <c r="AA245" s="163"/>
      <c r="AB245" s="163"/>
      <c r="AC245" s="179"/>
      <c r="AD245" s="179"/>
      <c r="AE245" s="179"/>
      <c r="AF245" s="179"/>
      <c r="AG245" s="179"/>
      <c r="AH245" s="179"/>
      <c r="AI245" s="179"/>
      <c r="AJ245" s="46"/>
      <c r="AK245" s="153"/>
      <c r="AL245" s="153"/>
      <c r="AM245" s="153"/>
      <c r="AN245" s="1135"/>
      <c r="AO245" s="132"/>
      <c r="AP245" s="65"/>
      <c r="AQ245" s="65"/>
      <c r="AR245" s="65"/>
      <c r="AS245" s="65"/>
      <c r="AT245" s="65"/>
      <c r="AU245" s="65"/>
      <c r="AV245" s="65"/>
      <c r="AW245" s="65"/>
      <c r="AX245" s="65"/>
      <c r="AY245" s="65"/>
      <c r="AZ245" s="65"/>
      <c r="BA245" s="65"/>
      <c r="BB245" s="65"/>
      <c r="BC245" s="65"/>
      <c r="BD245" s="68"/>
      <c r="BE245" s="68"/>
      <c r="BF245" s="68"/>
      <c r="BG245" s="68"/>
      <c r="BH245" s="68"/>
      <c r="BI245" s="65"/>
      <c r="BJ245" s="65"/>
      <c r="BK245" s="65"/>
      <c r="BL245" s="65"/>
      <c r="BM245" s="65"/>
      <c r="BN245" s="65"/>
      <c r="BO245" s="65"/>
      <c r="BP245" s="65"/>
      <c r="BQ245" s="65"/>
      <c r="BR245" s="65"/>
      <c r="BS245" s="65"/>
      <c r="BT245" s="65"/>
      <c r="BU245" s="65"/>
      <c r="BV245" s="65"/>
    </row>
    <row r="246" spans="1:74" s="16" customFormat="1">
      <c r="A246" s="191"/>
      <c r="B246" s="146"/>
      <c r="C246" s="198"/>
      <c r="D246" s="167"/>
      <c r="E246" s="166"/>
      <c r="F246" s="166"/>
      <c r="G246" s="166"/>
      <c r="H246" s="166"/>
      <c r="I246" s="166"/>
      <c r="J246" s="166"/>
      <c r="K246" s="166"/>
      <c r="L246" s="166"/>
      <c r="M246" s="166"/>
      <c r="N246" s="166"/>
      <c r="O246" s="166"/>
      <c r="P246" s="166"/>
      <c r="Q246" s="166"/>
      <c r="R246" s="166"/>
      <c r="S246" s="166"/>
      <c r="T246" s="166"/>
      <c r="U246" s="166"/>
      <c r="V246" s="166"/>
      <c r="W246" s="166"/>
      <c r="X246" s="166"/>
      <c r="Y246" s="166"/>
      <c r="Z246" s="166"/>
      <c r="AA246" s="166"/>
      <c r="AB246" s="217"/>
      <c r="AC246" s="217"/>
      <c r="AD246" s="217"/>
      <c r="AE246" s="217"/>
      <c r="AF246" s="217"/>
      <c r="AG246" s="217"/>
      <c r="AH246" s="167"/>
      <c r="AI246" s="139" t="s">
        <v>946</v>
      </c>
      <c r="AJ246" s="2373">
        <f>VLOOKUP($H$244,$AO$183:$AP$185,2,FALSE)</f>
        <v>0</v>
      </c>
      <c r="AK246" s="2374"/>
      <c r="AL246" s="25"/>
      <c r="AM246" s="137"/>
      <c r="AN246" s="1135"/>
      <c r="AO246" s="132"/>
      <c r="AP246" s="65"/>
      <c r="AQ246" s="65"/>
      <c r="AR246" s="65"/>
      <c r="AS246" s="65"/>
      <c r="AT246" s="65"/>
      <c r="AU246" s="65"/>
      <c r="AV246" s="65"/>
      <c r="AW246" s="65"/>
      <c r="AX246" s="65"/>
      <c r="AY246" s="65"/>
      <c r="AZ246" s="65"/>
      <c r="BA246" s="65"/>
      <c r="BB246" s="65"/>
      <c r="BC246" s="65"/>
      <c r="BD246" s="68"/>
      <c r="BE246" s="68"/>
      <c r="BF246" s="68"/>
      <c r="BG246" s="68"/>
      <c r="BH246" s="68"/>
      <c r="BI246" s="65"/>
      <c r="BJ246" s="65"/>
      <c r="BK246" s="65"/>
      <c r="BL246" s="65"/>
      <c r="BM246" s="65"/>
      <c r="BN246" s="65"/>
      <c r="BO246" s="65"/>
      <c r="BP246" s="65"/>
      <c r="BQ246" s="65"/>
      <c r="BR246" s="65"/>
      <c r="BS246" s="65"/>
      <c r="BT246" s="65"/>
      <c r="BU246" s="65"/>
      <c r="BV246" s="65"/>
    </row>
    <row r="247" spans="1:74" s="16" customFormat="1" ht="12.75" customHeight="1">
      <c r="A247" s="57"/>
      <c r="B247" s="161"/>
      <c r="C247" s="187"/>
      <c r="D247" s="46"/>
      <c r="E247" s="46"/>
      <c r="F247" s="46"/>
      <c r="G247" s="46"/>
      <c r="H247" s="46"/>
      <c r="I247" s="46"/>
      <c r="J247" s="163"/>
      <c r="K247" s="163"/>
      <c r="L247" s="174"/>
      <c r="M247" s="174"/>
      <c r="N247" s="174"/>
      <c r="O247" s="174"/>
      <c r="P247" s="174"/>
      <c r="Q247" s="174"/>
      <c r="R247" s="174"/>
      <c r="S247" s="174"/>
      <c r="T247" s="174"/>
      <c r="U247" s="174"/>
      <c r="V247" s="27"/>
      <c r="W247" s="27"/>
      <c r="X247" s="27"/>
      <c r="Y247" s="27"/>
      <c r="Z247" s="190"/>
      <c r="AA247" s="190"/>
      <c r="AB247" s="190"/>
      <c r="AC247" s="28"/>
      <c r="AD247" s="161"/>
      <c r="AE247" s="28"/>
      <c r="AF247" s="28"/>
      <c r="AG247" s="28"/>
      <c r="AH247" s="28"/>
      <c r="AI247" s="46"/>
      <c r="AJ247" s="46"/>
      <c r="AK247" s="46"/>
      <c r="AL247" s="46"/>
      <c r="AM247" s="46"/>
      <c r="AN247" s="1135"/>
      <c r="AO247" s="132"/>
      <c r="AP247" s="65"/>
      <c r="AQ247" s="65"/>
      <c r="AR247" s="65"/>
      <c r="AS247" s="65"/>
      <c r="AT247" s="65"/>
      <c r="AU247" s="65"/>
      <c r="AV247" s="65"/>
      <c r="AW247" s="65"/>
      <c r="AX247" s="65"/>
      <c r="AY247" s="65"/>
      <c r="AZ247" s="65"/>
      <c r="BA247" s="65"/>
      <c r="BB247" s="65"/>
      <c r="BC247" s="65"/>
      <c r="BD247" s="68"/>
      <c r="BE247" s="68"/>
      <c r="BF247" s="68"/>
      <c r="BG247" s="68"/>
      <c r="BH247" s="68"/>
      <c r="BI247" s="65"/>
      <c r="BJ247" s="65"/>
      <c r="BK247" s="65"/>
      <c r="BL247" s="65"/>
      <c r="BM247" s="65"/>
      <c r="BN247" s="65"/>
      <c r="BO247" s="65"/>
      <c r="BP247" s="65"/>
      <c r="BQ247" s="65"/>
      <c r="BR247" s="65"/>
      <c r="BS247" s="65"/>
      <c r="BT247" s="65"/>
      <c r="BU247" s="65"/>
      <c r="BV247" s="65"/>
    </row>
    <row r="248" spans="1:74" s="16" customFormat="1">
      <c r="A248" s="46"/>
      <c r="B248" s="46"/>
      <c r="C248" s="48" t="s">
        <v>221</v>
      </c>
      <c r="D248" s="27"/>
      <c r="E248" s="46"/>
      <c r="F248" s="46"/>
      <c r="G248" s="46"/>
      <c r="H248" s="46"/>
      <c r="I248" s="46"/>
      <c r="J248" s="46"/>
      <c r="K248" s="46"/>
      <c r="L248" s="46"/>
      <c r="M248" s="46"/>
      <c r="N248" s="46"/>
      <c r="O248" s="46"/>
      <c r="P248" s="46"/>
      <c r="Q248" s="46"/>
      <c r="R248" s="46"/>
      <c r="S248" s="46"/>
      <c r="T248" s="46"/>
      <c r="U248" s="46"/>
      <c r="V248" s="46"/>
      <c r="W248" s="46"/>
      <c r="X248" s="46"/>
      <c r="Y248" s="46"/>
      <c r="Z248" s="46"/>
      <c r="AA248" s="46"/>
      <c r="AB248" s="46"/>
      <c r="AC248" s="46"/>
      <c r="AD248" s="46"/>
      <c r="AE248" s="46"/>
      <c r="AF248" s="46"/>
      <c r="AG248" s="46"/>
      <c r="AH248" s="46"/>
      <c r="AI248" s="46"/>
      <c r="AJ248" s="46"/>
      <c r="AK248" s="46"/>
      <c r="AL248" s="46"/>
      <c r="AM248" s="46"/>
      <c r="AN248" s="1135"/>
      <c r="AO248" s="132"/>
      <c r="AP248" s="65"/>
      <c r="AQ248" s="65"/>
      <c r="AR248" s="65"/>
      <c r="AS248" s="65"/>
      <c r="AT248" s="65"/>
      <c r="AU248" s="65"/>
      <c r="AV248" s="65"/>
      <c r="AW248" s="65"/>
      <c r="AX248" s="65"/>
      <c r="AY248" s="65"/>
      <c r="AZ248" s="65"/>
      <c r="BA248" s="65"/>
      <c r="BB248" s="65"/>
      <c r="BC248" s="65"/>
      <c r="BD248" s="68"/>
      <c r="BE248" s="68"/>
      <c r="BF248" s="68"/>
      <c r="BG248" s="68"/>
      <c r="BH248" s="68"/>
      <c r="BI248" s="65"/>
      <c r="BJ248" s="65"/>
      <c r="BK248" s="65"/>
      <c r="BL248" s="65"/>
      <c r="BM248" s="65"/>
      <c r="BN248" s="65"/>
      <c r="BO248" s="65"/>
      <c r="BP248" s="65"/>
      <c r="BQ248" s="65"/>
      <c r="BR248" s="65"/>
      <c r="BS248" s="65"/>
      <c r="BT248" s="65"/>
      <c r="BU248" s="65"/>
      <c r="BV248" s="65"/>
    </row>
    <row r="249" spans="1:74" s="16" customFormat="1">
      <c r="A249" s="28"/>
      <c r="B249" s="173"/>
      <c r="C249" s="46"/>
      <c r="D249" s="46"/>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173"/>
      <c r="AE249" s="27"/>
      <c r="AF249" s="27"/>
      <c r="AG249" s="27"/>
      <c r="AH249" s="27"/>
      <c r="AI249" s="153"/>
      <c r="AJ249" s="46"/>
      <c r="AK249" s="153"/>
      <c r="AL249" s="153"/>
      <c r="AM249" s="153"/>
      <c r="AN249" s="1135"/>
      <c r="AO249" s="132"/>
      <c r="AP249" s="65"/>
      <c r="AQ249" s="65"/>
      <c r="AR249" s="65"/>
      <c r="AS249" s="65"/>
      <c r="AT249" s="65"/>
      <c r="AU249" s="65"/>
      <c r="AV249" s="65"/>
      <c r="AW249" s="65"/>
      <c r="AX249" s="65"/>
      <c r="AY249" s="65"/>
      <c r="AZ249" s="65"/>
      <c r="BA249" s="65"/>
      <c r="BB249" s="65"/>
      <c r="BC249" s="65"/>
      <c r="BD249" s="68"/>
      <c r="BE249" s="68"/>
      <c r="BF249" s="68"/>
      <c r="BG249" s="68"/>
      <c r="BH249" s="68"/>
      <c r="BI249" s="65"/>
      <c r="BJ249" s="65"/>
      <c r="BK249" s="65"/>
      <c r="BL249" s="65"/>
      <c r="BM249" s="65"/>
      <c r="BN249" s="65"/>
      <c r="BO249" s="65"/>
      <c r="BP249" s="65"/>
      <c r="BQ249" s="65"/>
      <c r="BR249" s="65"/>
      <c r="BS249" s="65"/>
      <c r="BT249" s="65"/>
      <c r="BU249" s="65"/>
      <c r="BV249" s="65"/>
    </row>
    <row r="250" spans="1:74" s="16" customFormat="1">
      <c r="A250" s="28"/>
      <c r="B250" s="46"/>
      <c r="C250" s="77"/>
      <c r="D250" s="144" t="s">
        <v>641</v>
      </c>
      <c r="E250" s="2340" t="s">
        <v>353</v>
      </c>
      <c r="F250" s="2340"/>
      <c r="G250" s="2340"/>
      <c r="H250" s="2340"/>
      <c r="I250" s="2340"/>
      <c r="J250" s="2340"/>
      <c r="K250" s="2340"/>
      <c r="L250" s="2340"/>
      <c r="M250" s="2340"/>
      <c r="N250" s="2340"/>
      <c r="O250" s="2340"/>
      <c r="P250" s="2340"/>
      <c r="Q250" s="2340"/>
      <c r="R250" s="2340"/>
      <c r="S250" s="2340"/>
      <c r="T250" s="2340"/>
      <c r="U250" s="2340"/>
      <c r="V250" s="2340"/>
      <c r="W250" s="2340"/>
      <c r="X250" s="2340"/>
      <c r="Y250" s="2340"/>
      <c r="Z250" s="2340"/>
      <c r="AA250" s="2340"/>
      <c r="AB250" s="2340"/>
      <c r="AC250" s="46"/>
      <c r="AD250" s="46"/>
      <c r="AF250" s="2378" t="s">
        <v>114</v>
      </c>
      <c r="AG250" s="2378"/>
      <c r="AH250" s="2378"/>
      <c r="AI250" s="2378"/>
      <c r="AJ250" s="2378"/>
      <c r="AK250" s="2378"/>
      <c r="AL250" s="2378"/>
      <c r="AM250" s="153"/>
      <c r="AN250" s="1135"/>
      <c r="AO250" s="132"/>
      <c r="AP250" s="65"/>
      <c r="AQ250" s="65"/>
      <c r="AR250" s="65"/>
      <c r="AS250" s="65"/>
      <c r="AT250" s="65"/>
      <c r="AU250" s="65"/>
      <c r="AV250" s="65"/>
      <c r="AW250" s="65"/>
      <c r="AX250" s="65"/>
      <c r="AY250" s="65"/>
      <c r="AZ250" s="65"/>
      <c r="BA250" s="65"/>
      <c r="BB250" s="65"/>
      <c r="BC250" s="65"/>
      <c r="BD250" s="68"/>
      <c r="BE250" s="68"/>
      <c r="BF250" s="68"/>
      <c r="BG250" s="68"/>
      <c r="BH250" s="68"/>
      <c r="BI250" s="65"/>
      <c r="BJ250" s="65"/>
      <c r="BK250" s="65"/>
      <c r="BL250" s="65"/>
      <c r="BM250" s="65"/>
      <c r="BN250" s="65"/>
      <c r="BO250" s="65"/>
      <c r="BP250" s="65"/>
      <c r="BQ250" s="65"/>
      <c r="BR250" s="65"/>
      <c r="BS250" s="65"/>
      <c r="BT250" s="65"/>
      <c r="BU250" s="65"/>
      <c r="BV250" s="65"/>
    </row>
    <row r="251" spans="1:74" s="16" customFormat="1">
      <c r="A251" s="28"/>
      <c r="B251" s="161"/>
      <c r="C251" s="187"/>
      <c r="D251" s="144"/>
      <c r="E251" s="2340"/>
      <c r="F251" s="2340"/>
      <c r="G251" s="2340"/>
      <c r="H251" s="2340"/>
      <c r="I251" s="2340"/>
      <c r="J251" s="2340"/>
      <c r="K251" s="2340"/>
      <c r="L251" s="2340"/>
      <c r="M251" s="2340"/>
      <c r="N251" s="2340"/>
      <c r="O251" s="2340"/>
      <c r="P251" s="2340"/>
      <c r="Q251" s="2340"/>
      <c r="R251" s="2340"/>
      <c r="S251" s="2340"/>
      <c r="T251" s="2340"/>
      <c r="U251" s="2340"/>
      <c r="V251" s="2340"/>
      <c r="W251" s="2340"/>
      <c r="X251" s="2340"/>
      <c r="Y251" s="2340"/>
      <c r="Z251" s="2340"/>
      <c r="AA251" s="2340"/>
      <c r="AB251" s="2340"/>
      <c r="AC251" s="46"/>
      <c r="AD251" s="46"/>
      <c r="AL251" s="153"/>
      <c r="AM251" s="153"/>
      <c r="AN251" s="1135"/>
      <c r="AO251" s="132"/>
      <c r="AP251" s="65"/>
      <c r="AQ251" s="65"/>
      <c r="AR251" s="65"/>
      <c r="AS251" s="65"/>
      <c r="AT251" s="65"/>
      <c r="AU251" s="65"/>
      <c r="AV251" s="65"/>
      <c r="AW251" s="65"/>
      <c r="AX251" s="65"/>
      <c r="AY251" s="65"/>
      <c r="AZ251" s="65"/>
      <c r="BA251" s="65"/>
      <c r="BB251" s="65"/>
      <c r="BC251" s="65"/>
      <c r="BD251" s="68"/>
      <c r="BE251" s="68"/>
      <c r="BF251" s="68"/>
      <c r="BG251" s="68"/>
      <c r="BH251" s="68"/>
      <c r="BI251" s="65"/>
      <c r="BJ251" s="65"/>
      <c r="BK251" s="65"/>
      <c r="BL251" s="65"/>
      <c r="BM251" s="65"/>
      <c r="BN251" s="65"/>
      <c r="BO251" s="65"/>
      <c r="BP251" s="65"/>
      <c r="BQ251" s="65"/>
      <c r="BR251" s="65"/>
      <c r="BS251" s="65"/>
      <c r="BT251" s="65"/>
      <c r="BU251" s="65"/>
      <c r="BV251" s="65"/>
    </row>
    <row r="252" spans="1:74" s="16" customFormat="1">
      <c r="A252" s="28"/>
      <c r="B252" s="173"/>
      <c r="C252" s="196"/>
      <c r="D252" s="144"/>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46"/>
      <c r="AD252" s="46"/>
      <c r="AE252" s="27"/>
      <c r="AF252" s="173"/>
      <c r="AG252" s="27"/>
      <c r="AH252" s="27"/>
      <c r="AI252" s="27"/>
      <c r="AJ252" s="27"/>
      <c r="AK252" s="153"/>
      <c r="AL252" s="153"/>
      <c r="AM252" s="153"/>
      <c r="AN252" s="1135"/>
      <c r="AO252" s="132"/>
      <c r="AP252" s="65"/>
      <c r="AQ252" s="65"/>
      <c r="AR252" s="65"/>
      <c r="AS252" s="65"/>
      <c r="AT252" s="65"/>
      <c r="AU252" s="65"/>
      <c r="AV252" s="65"/>
      <c r="AW252" s="65"/>
      <c r="AX252" s="65"/>
      <c r="AY252" s="65"/>
      <c r="AZ252" s="65"/>
      <c r="BA252" s="65"/>
      <c r="BB252" s="65"/>
      <c r="BC252" s="65"/>
      <c r="BD252" s="68"/>
      <c r="BE252" s="68"/>
      <c r="BF252" s="68"/>
      <c r="BG252" s="68"/>
      <c r="BH252" s="68"/>
      <c r="BI252" s="65"/>
      <c r="BJ252" s="65"/>
      <c r="BK252" s="65"/>
      <c r="BL252" s="65"/>
      <c r="BM252" s="65"/>
      <c r="BN252" s="65"/>
      <c r="BO252" s="65"/>
      <c r="BP252" s="65"/>
      <c r="BQ252" s="65"/>
      <c r="BR252" s="65"/>
      <c r="BS252" s="65"/>
      <c r="BT252" s="65"/>
      <c r="BU252" s="65"/>
      <c r="BV252" s="65"/>
    </row>
    <row r="253" spans="1:74" s="16" customFormat="1">
      <c r="A253" s="57"/>
      <c r="B253" s="74"/>
      <c r="C253" s="77"/>
      <c r="D253" s="144" t="s">
        <v>214</v>
      </c>
      <c r="E253" s="2340" t="s">
        <v>1391</v>
      </c>
      <c r="F253" s="2340"/>
      <c r="G253" s="2340"/>
      <c r="H253" s="2340"/>
      <c r="I253" s="2340"/>
      <c r="J253" s="2340"/>
      <c r="K253" s="2340"/>
      <c r="L253" s="2340"/>
      <c r="M253" s="2340"/>
      <c r="N253" s="2340"/>
      <c r="O253" s="2340"/>
      <c r="P253" s="2340"/>
      <c r="Q253" s="2340"/>
      <c r="R253" s="2340"/>
      <c r="S253" s="2340"/>
      <c r="T253" s="2340"/>
      <c r="U253" s="2340"/>
      <c r="V253" s="2340"/>
      <c r="W253" s="2340"/>
      <c r="X253" s="2340"/>
      <c r="Y253" s="2340"/>
      <c r="Z253" s="2340"/>
      <c r="AA253" s="2340"/>
      <c r="AB253" s="2340"/>
      <c r="AC253" s="46"/>
      <c r="AD253" s="46"/>
      <c r="AF253" s="2378" t="s">
        <v>354</v>
      </c>
      <c r="AG253" s="2378"/>
      <c r="AH253" s="2378"/>
      <c r="AI253" s="2378"/>
      <c r="AJ253" s="2378"/>
      <c r="AK253" s="2378"/>
      <c r="AL253" s="2378"/>
      <c r="AM253" s="153"/>
      <c r="AN253" s="1135"/>
      <c r="AO253" s="132"/>
      <c r="AP253" s="65"/>
      <c r="AQ253" s="65"/>
      <c r="AR253" s="65"/>
      <c r="AS253" s="65"/>
      <c r="AT253" s="65"/>
      <c r="AU253" s="65"/>
      <c r="AV253" s="65"/>
      <c r="AW253" s="65"/>
      <c r="AX253" s="65"/>
      <c r="AY253" s="65"/>
      <c r="AZ253" s="65"/>
      <c r="BA253" s="65"/>
      <c r="BB253" s="65"/>
      <c r="BC253" s="65"/>
      <c r="BD253" s="68"/>
      <c r="BE253" s="68"/>
      <c r="BF253" s="68"/>
      <c r="BG253" s="68"/>
      <c r="BH253" s="68"/>
      <c r="BI253" s="65"/>
      <c r="BJ253" s="65"/>
      <c r="BK253" s="65"/>
      <c r="BL253" s="65"/>
      <c r="BM253" s="65"/>
      <c r="BN253" s="65"/>
      <c r="BO253" s="65"/>
      <c r="BP253" s="65"/>
      <c r="BQ253" s="65"/>
      <c r="BR253" s="65"/>
      <c r="BS253" s="65"/>
      <c r="BT253" s="65"/>
      <c r="BU253" s="65"/>
      <c r="BV253" s="65"/>
    </row>
    <row r="254" spans="1:74" s="16" customFormat="1" ht="12.75" customHeight="1">
      <c r="A254" s="57"/>
      <c r="B254" s="74"/>
      <c r="C254" s="77"/>
      <c r="D254" s="144"/>
      <c r="E254" s="2340"/>
      <c r="F254" s="2340"/>
      <c r="G254" s="2340"/>
      <c r="H254" s="2340"/>
      <c r="I254" s="2340"/>
      <c r="J254" s="2340"/>
      <c r="K254" s="2340"/>
      <c r="L254" s="2340"/>
      <c r="M254" s="2340"/>
      <c r="N254" s="2340"/>
      <c r="O254" s="2340"/>
      <c r="P254" s="2340"/>
      <c r="Q254" s="2340"/>
      <c r="R254" s="2340"/>
      <c r="S254" s="2340"/>
      <c r="T254" s="2340"/>
      <c r="U254" s="2340"/>
      <c r="V254" s="2340"/>
      <c r="W254" s="2340"/>
      <c r="X254" s="2340"/>
      <c r="Y254" s="2340"/>
      <c r="Z254" s="2340"/>
      <c r="AA254" s="2340"/>
      <c r="AB254" s="2340"/>
      <c r="AC254" s="46"/>
      <c r="AD254" s="46"/>
      <c r="AE254" s="179"/>
      <c r="AM254" s="153"/>
      <c r="AN254" s="1135"/>
      <c r="AO254" s="132"/>
      <c r="AP254" s="65"/>
      <c r="AQ254" s="65"/>
      <c r="AR254" s="65"/>
      <c r="AS254" s="65"/>
      <c r="AT254" s="65"/>
      <c r="AU254" s="65"/>
      <c r="AV254" s="65"/>
      <c r="AW254" s="65"/>
      <c r="AX254" s="65"/>
      <c r="AY254" s="65"/>
      <c r="AZ254" s="65"/>
      <c r="BA254" s="65"/>
      <c r="BB254" s="65"/>
      <c r="BC254" s="65"/>
      <c r="BD254" s="68"/>
      <c r="BE254" s="68"/>
      <c r="BF254" s="68"/>
      <c r="BG254" s="68"/>
      <c r="BH254" s="68"/>
      <c r="BI254" s="65"/>
      <c r="BJ254" s="65"/>
      <c r="BK254" s="65"/>
      <c r="BL254" s="65"/>
      <c r="BM254" s="65"/>
      <c r="BN254" s="65"/>
      <c r="BO254" s="65"/>
      <c r="BP254" s="65"/>
      <c r="BQ254" s="65"/>
      <c r="BR254" s="65"/>
      <c r="BS254" s="65"/>
      <c r="BT254" s="65"/>
      <c r="BU254" s="65"/>
      <c r="BV254" s="65"/>
    </row>
    <row r="255" spans="1:74" s="16" customFormat="1">
      <c r="A255" s="28"/>
      <c r="B255" s="161"/>
      <c r="C255" s="187"/>
      <c r="D255" s="28"/>
      <c r="E255" s="174"/>
      <c r="F255" s="174"/>
      <c r="G255" s="174"/>
      <c r="H255" s="174"/>
      <c r="I255" s="174"/>
      <c r="J255" s="174"/>
      <c r="K255" s="174"/>
      <c r="L255" s="174"/>
      <c r="M255" s="174"/>
      <c r="N255" s="174"/>
      <c r="O255" s="174"/>
      <c r="P255" s="174"/>
      <c r="Q255" s="174"/>
      <c r="R255" s="174"/>
      <c r="S255" s="174"/>
      <c r="T255" s="174"/>
      <c r="U255" s="174"/>
      <c r="V255" s="174"/>
      <c r="W255" s="174"/>
      <c r="X255" s="174"/>
      <c r="Y255" s="174"/>
      <c r="Z255" s="174"/>
      <c r="AA255" s="174"/>
      <c r="AB255" s="174"/>
      <c r="AC255" s="28"/>
      <c r="AD255" s="161"/>
      <c r="AE255" s="27"/>
      <c r="AF255" s="27"/>
      <c r="AG255" s="27"/>
      <c r="AH255" s="27"/>
      <c r="AI255" s="153"/>
      <c r="AJ255" s="46"/>
      <c r="AK255" s="153"/>
      <c r="AL255" s="153"/>
      <c r="AM255" s="153"/>
      <c r="AN255" s="1135"/>
      <c r="AO255" s="132"/>
      <c r="AP255" s="65"/>
      <c r="AQ255" s="65"/>
      <c r="AR255" s="65"/>
      <c r="AS255" s="65"/>
      <c r="AT255" s="65"/>
      <c r="AU255" s="65"/>
      <c r="AV255" s="65"/>
      <c r="AW255" s="65"/>
      <c r="AX255" s="65"/>
      <c r="AY255" s="65"/>
      <c r="AZ255" s="65"/>
      <c r="BA255" s="65"/>
      <c r="BB255" s="65"/>
      <c r="BC255" s="65"/>
      <c r="BD255" s="68"/>
      <c r="BE255" s="68"/>
      <c r="BF255" s="68"/>
      <c r="BG255" s="68"/>
      <c r="BH255" s="68"/>
      <c r="BI255" s="65"/>
      <c r="BJ255" s="65"/>
      <c r="BK255" s="65"/>
      <c r="BL255" s="65"/>
      <c r="BM255" s="65"/>
      <c r="BN255" s="65"/>
      <c r="BO255" s="65"/>
      <c r="BP255" s="65"/>
      <c r="BQ255" s="65"/>
      <c r="BR255" s="65"/>
      <c r="BS255" s="65"/>
      <c r="BT255" s="65"/>
      <c r="BU255" s="65"/>
      <c r="BV255" s="65"/>
    </row>
    <row r="256" spans="1:74" s="16" customFormat="1" ht="12.75" customHeight="1">
      <c r="A256" s="28"/>
      <c r="B256" s="161"/>
      <c r="C256" s="46"/>
      <c r="D256" s="28" t="s">
        <v>163</v>
      </c>
      <c r="E256" s="190"/>
      <c r="F256" s="190"/>
      <c r="G256" s="190"/>
      <c r="H256" s="2388" t="s">
        <v>641</v>
      </c>
      <c r="I256" s="2388"/>
      <c r="J256" s="174"/>
      <c r="K256" s="174"/>
      <c r="L256" s="174"/>
      <c r="M256" s="174"/>
      <c r="N256" s="174"/>
      <c r="O256" s="174"/>
      <c r="P256" s="174"/>
      <c r="Q256" s="46"/>
      <c r="R256" s="46"/>
      <c r="S256" s="46"/>
      <c r="T256" s="46"/>
      <c r="U256" s="46"/>
      <c r="V256" s="46"/>
      <c r="W256" s="174"/>
      <c r="X256" s="174"/>
      <c r="Y256" s="174"/>
      <c r="Z256" s="174"/>
      <c r="AA256" s="174"/>
      <c r="AB256" s="174"/>
      <c r="AC256" s="28"/>
      <c r="AD256" s="161"/>
      <c r="AE256" s="27"/>
      <c r="AF256" s="27"/>
      <c r="AG256" s="27"/>
      <c r="AH256" s="27"/>
      <c r="AI256" s="153"/>
      <c r="AJ256" s="46"/>
      <c r="AK256" s="153"/>
      <c r="AL256" s="153"/>
      <c r="AM256" s="153"/>
      <c r="AN256" s="1135"/>
      <c r="AO256" s="132"/>
      <c r="AP256" s="65"/>
      <c r="AQ256" s="65"/>
      <c r="AR256" s="65"/>
      <c r="AS256" s="65"/>
      <c r="AT256" s="65"/>
      <c r="AU256" s="65"/>
      <c r="AV256" s="65"/>
      <c r="AW256" s="65"/>
      <c r="AX256" s="65"/>
      <c r="AY256" s="65"/>
      <c r="AZ256" s="65"/>
      <c r="BA256" s="65"/>
      <c r="BB256" s="65"/>
      <c r="BC256" s="65"/>
      <c r="BD256" s="68"/>
      <c r="BE256" s="68"/>
      <c r="BF256" s="68"/>
      <c r="BG256" s="68"/>
      <c r="BH256" s="68"/>
      <c r="BI256" s="65"/>
      <c r="BJ256" s="65"/>
      <c r="BK256" s="65"/>
      <c r="BL256" s="65"/>
      <c r="BM256" s="65"/>
      <c r="BN256" s="65"/>
      <c r="BO256" s="65"/>
      <c r="BP256" s="65"/>
      <c r="BQ256" s="65"/>
      <c r="BR256" s="65"/>
      <c r="BS256" s="65"/>
      <c r="BT256" s="65"/>
      <c r="BU256" s="65"/>
      <c r="BV256" s="65"/>
    </row>
    <row r="257" spans="1:74" s="16" customFormat="1" ht="12.75" customHeight="1">
      <c r="A257" s="28"/>
      <c r="B257" s="173"/>
      <c r="C257" s="218"/>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173"/>
      <c r="AE257" s="27"/>
      <c r="AF257" s="27"/>
      <c r="AG257" s="27"/>
      <c r="AH257" s="27"/>
      <c r="AI257" s="153"/>
      <c r="AJ257" s="46"/>
      <c r="AK257" s="153"/>
      <c r="AL257" s="153"/>
      <c r="AM257" s="153"/>
      <c r="AN257" s="1135"/>
      <c r="AO257" s="132"/>
      <c r="AP257" s="65"/>
      <c r="AQ257" s="65"/>
      <c r="AR257" s="65"/>
      <c r="AS257" s="65"/>
      <c r="AT257" s="65"/>
      <c r="AU257" s="65"/>
      <c r="AV257" s="65"/>
      <c r="AW257" s="65"/>
      <c r="AX257" s="65"/>
      <c r="AY257" s="65"/>
      <c r="AZ257" s="65"/>
      <c r="BA257" s="65"/>
      <c r="BB257" s="65"/>
      <c r="BC257" s="65"/>
      <c r="BD257" s="68"/>
      <c r="BE257" s="68"/>
      <c r="BF257" s="68"/>
      <c r="BG257" s="68"/>
      <c r="BH257" s="68"/>
      <c r="BI257" s="65"/>
      <c r="BJ257" s="65"/>
      <c r="BK257" s="65"/>
      <c r="BL257" s="65"/>
      <c r="BM257" s="65"/>
      <c r="BN257" s="65"/>
      <c r="BO257" s="65"/>
      <c r="BP257" s="65"/>
      <c r="BQ257" s="65"/>
      <c r="BR257" s="65"/>
      <c r="BS257" s="65"/>
      <c r="BT257" s="65"/>
      <c r="BU257" s="65"/>
      <c r="BV257" s="65"/>
    </row>
    <row r="258" spans="1:74" s="16" customFormat="1" ht="14.1" customHeight="1">
      <c r="A258" s="191"/>
      <c r="B258" s="219"/>
      <c r="C258" s="220"/>
      <c r="D258" s="201"/>
      <c r="E258" s="201"/>
      <c r="F258" s="201"/>
      <c r="G258" s="201"/>
      <c r="H258" s="201"/>
      <c r="I258" s="201"/>
      <c r="J258" s="201"/>
      <c r="K258" s="201"/>
      <c r="L258" s="201"/>
      <c r="M258" s="201"/>
      <c r="N258" s="201"/>
      <c r="O258" s="201"/>
      <c r="P258" s="201"/>
      <c r="Q258" s="201"/>
      <c r="R258" s="201"/>
      <c r="S258" s="201"/>
      <c r="T258" s="201"/>
      <c r="U258" s="201"/>
      <c r="V258" s="201"/>
      <c r="W258" s="201"/>
      <c r="X258" s="201"/>
      <c r="Y258" s="201"/>
      <c r="Z258" s="201"/>
      <c r="AA258" s="201"/>
      <c r="AB258" s="201"/>
      <c r="AC258" s="219"/>
      <c r="AD258" s="201"/>
      <c r="AE258" s="201"/>
      <c r="AF258" s="201"/>
      <c r="AG258" s="201"/>
      <c r="AH258" s="167"/>
      <c r="AI258" s="139" t="s">
        <v>85</v>
      </c>
      <c r="AJ258" s="2373">
        <f>VLOOKUP($H$256,$AO$196:$AP$198,2,FALSE)</f>
        <v>2</v>
      </c>
      <c r="AK258" s="2374"/>
      <c r="AL258" s="25"/>
      <c r="AM258" s="137"/>
      <c r="AN258" s="1135"/>
      <c r="AO258" s="132"/>
      <c r="AP258" s="65"/>
      <c r="AQ258" s="65"/>
      <c r="AR258" s="65"/>
      <c r="AS258" s="65"/>
      <c r="AT258" s="65"/>
      <c r="AU258" s="65"/>
      <c r="AV258" s="65"/>
      <c r="AW258" s="65"/>
      <c r="AX258" s="65"/>
      <c r="AY258" s="65"/>
      <c r="AZ258" s="65"/>
      <c r="BA258" s="65"/>
      <c r="BB258" s="65"/>
      <c r="BC258" s="65"/>
      <c r="BD258" s="68"/>
      <c r="BE258" s="68"/>
      <c r="BF258" s="68"/>
      <c r="BG258" s="68"/>
      <c r="BH258" s="68"/>
      <c r="BI258" s="65"/>
      <c r="BJ258" s="65"/>
      <c r="BK258" s="65"/>
      <c r="BL258" s="65"/>
      <c r="BM258" s="65"/>
      <c r="BN258" s="65"/>
      <c r="BO258" s="65"/>
      <c r="BP258" s="65"/>
      <c r="BQ258" s="65"/>
      <c r="BR258" s="65"/>
      <c r="BS258" s="65"/>
      <c r="BT258" s="65"/>
      <c r="BU258" s="65"/>
      <c r="BV258" s="65"/>
    </row>
    <row r="259" spans="1:74" s="16" customFormat="1">
      <c r="A259" s="28"/>
      <c r="B259" s="173"/>
      <c r="C259" s="218"/>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173"/>
      <c r="AD259" s="27"/>
      <c r="AE259" s="27"/>
      <c r="AF259" s="27"/>
      <c r="AG259" s="27"/>
      <c r="AH259" s="28"/>
      <c r="AI259" s="105"/>
      <c r="AJ259" s="25"/>
      <c r="AK259" s="25"/>
      <c r="AL259" s="25"/>
      <c r="AM259" s="137"/>
      <c r="AN259" s="1135"/>
      <c r="AO259" s="132"/>
      <c r="AP259" s="65"/>
      <c r="AQ259" s="65"/>
      <c r="AR259" s="65"/>
      <c r="AS259" s="65"/>
      <c r="AT259" s="65"/>
      <c r="AU259" s="65"/>
      <c r="AV259" s="65"/>
      <c r="AW259" s="65"/>
      <c r="AX259" s="65"/>
      <c r="AY259" s="65"/>
      <c r="AZ259" s="65"/>
      <c r="BA259" s="65"/>
      <c r="BB259" s="65"/>
      <c r="BC259" s="65"/>
      <c r="BD259" s="68"/>
      <c r="BE259" s="68"/>
      <c r="BF259" s="68"/>
      <c r="BG259" s="68"/>
      <c r="BH259" s="68"/>
      <c r="BI259" s="65"/>
      <c r="BJ259" s="65"/>
      <c r="BK259" s="65"/>
      <c r="BL259" s="65"/>
      <c r="BM259" s="65"/>
      <c r="BN259" s="65"/>
      <c r="BO259" s="65"/>
      <c r="BP259" s="65"/>
      <c r="BQ259" s="65"/>
      <c r="BR259" s="65"/>
      <c r="BS259" s="65"/>
      <c r="BT259" s="65"/>
      <c r="BU259" s="65"/>
      <c r="BV259" s="65"/>
    </row>
    <row r="260" spans="1:74" s="16" customFormat="1">
      <c r="A260" s="28"/>
      <c r="B260" s="173"/>
      <c r="C260" s="48" t="s">
        <v>222</v>
      </c>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173"/>
      <c r="AD260" s="27"/>
      <c r="AE260" s="27"/>
      <c r="AF260" s="27"/>
      <c r="AG260" s="27"/>
      <c r="AH260" s="28"/>
      <c r="AI260" s="105"/>
      <c r="AJ260" s="25"/>
      <c r="AK260" s="25"/>
      <c r="AL260" s="25"/>
      <c r="AM260" s="137"/>
      <c r="AN260" s="1135"/>
      <c r="AO260" s="132"/>
      <c r="AP260" s="65"/>
      <c r="AQ260" s="65"/>
      <c r="AR260" s="65"/>
      <c r="AS260" s="65"/>
      <c r="AT260" s="65"/>
      <c r="AU260" s="65"/>
      <c r="AV260" s="65"/>
      <c r="AW260" s="65"/>
      <c r="AX260" s="65"/>
      <c r="AY260" s="65"/>
      <c r="AZ260" s="65"/>
      <c r="BA260" s="65"/>
      <c r="BB260" s="65"/>
      <c r="BC260" s="65"/>
      <c r="BD260" s="68"/>
      <c r="BE260" s="68"/>
      <c r="BF260" s="68"/>
      <c r="BG260" s="68"/>
      <c r="BH260" s="68"/>
      <c r="BI260" s="65"/>
      <c r="BJ260" s="65"/>
      <c r="BK260" s="65"/>
      <c r="BL260" s="65"/>
      <c r="BM260" s="65"/>
      <c r="BN260" s="65"/>
      <c r="BO260" s="65"/>
      <c r="BP260" s="65"/>
      <c r="BQ260" s="65"/>
      <c r="BR260" s="65"/>
      <c r="BS260" s="65"/>
      <c r="BT260" s="65"/>
      <c r="BU260" s="65"/>
      <c r="BV260" s="65"/>
    </row>
    <row r="261" spans="1:74" s="16" customFormat="1">
      <c r="A261" s="28"/>
      <c r="B261" s="173"/>
      <c r="C261" s="218"/>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173"/>
      <c r="AD261" s="27"/>
      <c r="AE261" s="27"/>
      <c r="AF261" s="27"/>
      <c r="AG261" s="27"/>
      <c r="AH261" s="28"/>
      <c r="AI261" s="105"/>
      <c r="AJ261" s="25"/>
      <c r="AK261" s="25"/>
      <c r="AL261" s="25"/>
      <c r="AM261" s="137"/>
      <c r="AN261" s="317"/>
    </row>
    <row r="262" spans="1:74" s="16" customFormat="1" ht="13.65" customHeight="1">
      <c r="A262" s="28"/>
      <c r="B262" s="173"/>
      <c r="C262" s="218"/>
      <c r="D262" s="144" t="s">
        <v>641</v>
      </c>
      <c r="E262" s="2340" t="s">
        <v>2241</v>
      </c>
      <c r="F262" s="2340"/>
      <c r="G262" s="2340"/>
      <c r="H262" s="2340"/>
      <c r="I262" s="2340"/>
      <c r="J262" s="2340"/>
      <c r="K262" s="2340"/>
      <c r="L262" s="2340"/>
      <c r="M262" s="2340"/>
      <c r="N262" s="2340"/>
      <c r="O262" s="2340"/>
      <c r="P262" s="2340"/>
      <c r="Q262" s="2340"/>
      <c r="R262" s="2340"/>
      <c r="S262" s="2340"/>
      <c r="T262" s="2340"/>
      <c r="U262" s="2340"/>
      <c r="V262" s="2340"/>
      <c r="W262" s="2340"/>
      <c r="X262" s="2340"/>
      <c r="Y262" s="2340"/>
      <c r="Z262" s="2340"/>
      <c r="AA262" s="2340"/>
      <c r="AB262" s="2340"/>
      <c r="AC262" s="2340"/>
      <c r="AD262" s="2340"/>
      <c r="AF262" s="2378" t="s">
        <v>114</v>
      </c>
      <c r="AG262" s="2378"/>
      <c r="AH262" s="2378"/>
      <c r="AI262" s="2378"/>
      <c r="AJ262" s="2378"/>
      <c r="AK262" s="2378"/>
      <c r="AL262" s="2378"/>
      <c r="AM262" s="175"/>
      <c r="AN262" s="317"/>
    </row>
    <row r="263" spans="1:74" s="16" customFormat="1">
      <c r="A263" s="28"/>
      <c r="B263" s="173"/>
      <c r="C263" s="218"/>
      <c r="D263" s="144"/>
      <c r="E263" s="2340"/>
      <c r="F263" s="2340"/>
      <c r="G263" s="2340"/>
      <c r="H263" s="2340"/>
      <c r="I263" s="2340"/>
      <c r="J263" s="2340"/>
      <c r="K263" s="2340"/>
      <c r="L263" s="2340"/>
      <c r="M263" s="2340"/>
      <c r="N263" s="2340"/>
      <c r="O263" s="2340"/>
      <c r="P263" s="2340"/>
      <c r="Q263" s="2340"/>
      <c r="R263" s="2340"/>
      <c r="S263" s="2340"/>
      <c r="T263" s="2340"/>
      <c r="U263" s="2340"/>
      <c r="V263" s="2340"/>
      <c r="W263" s="2340"/>
      <c r="X263" s="2340"/>
      <c r="Y263" s="2340"/>
      <c r="Z263" s="2340"/>
      <c r="AA263" s="2340"/>
      <c r="AB263" s="2340"/>
      <c r="AC263" s="2340"/>
      <c r="AD263" s="2340"/>
      <c r="AL263" s="1304"/>
      <c r="AM263" s="175"/>
      <c r="AN263" s="1135"/>
      <c r="AO263" s="132"/>
      <c r="AP263" s="65"/>
      <c r="AQ263" s="65"/>
      <c r="AR263" s="65"/>
      <c r="AS263" s="65"/>
      <c r="AT263" s="65"/>
      <c r="AU263" s="65"/>
      <c r="AV263" s="65"/>
      <c r="AW263" s="65"/>
      <c r="AX263" s="65"/>
      <c r="AY263" s="65"/>
      <c r="AZ263" s="65"/>
      <c r="BA263" s="65"/>
      <c r="BB263" s="65"/>
      <c r="BC263" s="65"/>
      <c r="BD263" s="68"/>
      <c r="BE263" s="68"/>
      <c r="BF263" s="68"/>
      <c r="BG263" s="68"/>
      <c r="BH263" s="68"/>
      <c r="BI263" s="65"/>
      <c r="BJ263" s="65"/>
      <c r="BK263" s="65"/>
      <c r="BL263" s="65"/>
      <c r="BM263" s="65"/>
      <c r="BN263" s="65"/>
      <c r="BO263" s="65"/>
      <c r="BP263" s="65"/>
      <c r="BQ263" s="65"/>
      <c r="BR263" s="65"/>
      <c r="BS263" s="65"/>
      <c r="BT263" s="65"/>
      <c r="BU263" s="65"/>
    </row>
    <row r="264" spans="1:74" s="16" customFormat="1" ht="18.600000000000001" customHeight="1">
      <c r="A264" s="28"/>
      <c r="B264" s="173"/>
      <c r="C264" s="218"/>
      <c r="D264" s="144"/>
      <c r="E264" s="2340"/>
      <c r="F264" s="2340"/>
      <c r="G264" s="2340"/>
      <c r="H264" s="2340"/>
      <c r="I264" s="2340"/>
      <c r="J264" s="2340"/>
      <c r="K264" s="2340"/>
      <c r="L264" s="2340"/>
      <c r="M264" s="2340"/>
      <c r="N264" s="2340"/>
      <c r="O264" s="2340"/>
      <c r="P264" s="2340"/>
      <c r="Q264" s="2340"/>
      <c r="R264" s="2340"/>
      <c r="S264" s="2340"/>
      <c r="T264" s="2340"/>
      <c r="U264" s="2340"/>
      <c r="V264" s="2340"/>
      <c r="W264" s="2340"/>
      <c r="X264" s="2340"/>
      <c r="Y264" s="2340"/>
      <c r="Z264" s="2340"/>
      <c r="AA264" s="2340"/>
      <c r="AB264" s="2340"/>
      <c r="AC264" s="2340"/>
      <c r="AD264" s="2340"/>
      <c r="AE264" s="179"/>
      <c r="AF264" s="179"/>
      <c r="AG264" s="179"/>
      <c r="AH264" s="179"/>
      <c r="AI264" s="179"/>
      <c r="AJ264" s="179"/>
      <c r="AK264" s="179"/>
      <c r="AL264" s="1304"/>
      <c r="AM264" s="175"/>
      <c r="AN264" s="1135"/>
      <c r="AO264" s="132"/>
      <c r="AP264" s="65"/>
      <c r="AQ264" s="65"/>
      <c r="AR264" s="65"/>
      <c r="AS264" s="65"/>
      <c r="AT264" s="65"/>
      <c r="AU264" s="65"/>
      <c r="AV264" s="65"/>
      <c r="AW264" s="65"/>
      <c r="AX264" s="65"/>
      <c r="AY264" s="65"/>
      <c r="AZ264" s="65"/>
      <c r="BA264" s="65"/>
      <c r="BB264" s="65"/>
      <c r="BC264" s="65"/>
      <c r="BD264" s="68"/>
      <c r="BE264" s="68"/>
      <c r="BF264" s="68"/>
      <c r="BG264" s="68"/>
      <c r="BH264" s="68"/>
      <c r="BI264" s="65"/>
      <c r="BJ264" s="65"/>
      <c r="BK264" s="65"/>
      <c r="BL264" s="65"/>
      <c r="BM264" s="65"/>
      <c r="BN264" s="65"/>
      <c r="BO264" s="65"/>
      <c r="BP264" s="65"/>
      <c r="BQ264" s="65"/>
      <c r="BR264" s="65"/>
      <c r="BS264" s="65"/>
      <c r="BT264" s="65"/>
      <c r="BU264" s="65"/>
    </row>
    <row r="265" spans="1:74" s="46" customFormat="1" ht="12.75" customHeight="1">
      <c r="A265" s="28"/>
      <c r="B265" s="173"/>
      <c r="C265" s="218"/>
      <c r="D265" s="144"/>
      <c r="E265" s="538"/>
      <c r="F265" s="538"/>
      <c r="G265" s="538"/>
      <c r="H265" s="538"/>
      <c r="I265" s="538"/>
      <c r="J265" s="538"/>
      <c r="K265" s="538"/>
      <c r="L265" s="538"/>
      <c r="M265" s="538"/>
      <c r="N265" s="538"/>
      <c r="O265" s="538"/>
      <c r="P265" s="538"/>
      <c r="Q265" s="538"/>
      <c r="R265" s="538"/>
      <c r="S265" s="538"/>
      <c r="T265" s="538"/>
      <c r="U265" s="538"/>
      <c r="V265" s="538"/>
      <c r="W265" s="538"/>
      <c r="X265" s="538"/>
      <c r="Y265" s="538"/>
      <c r="Z265" s="538"/>
      <c r="AA265" s="538"/>
      <c r="AB265" s="538"/>
      <c r="AC265" s="538"/>
      <c r="AD265" s="538"/>
      <c r="AE265" s="179"/>
      <c r="AM265" s="175"/>
      <c r="AN265" s="439"/>
    </row>
    <row r="266" spans="1:74" s="46" customFormat="1" ht="12.75" customHeight="1">
      <c r="A266" s="28"/>
      <c r="B266" s="173"/>
      <c r="C266" s="218"/>
      <c r="D266" s="144" t="s">
        <v>214</v>
      </c>
      <c r="E266" s="2387" t="s">
        <v>2242</v>
      </c>
      <c r="F266" s="2387"/>
      <c r="G266" s="2387"/>
      <c r="H266" s="2387"/>
      <c r="I266" s="2387"/>
      <c r="J266" s="2387"/>
      <c r="K266" s="2387"/>
      <c r="L266" s="2387"/>
      <c r="M266" s="2387"/>
      <c r="N266" s="2387"/>
      <c r="O266" s="2387"/>
      <c r="P266" s="2387"/>
      <c r="Q266" s="2387"/>
      <c r="R266" s="2387"/>
      <c r="S266" s="2387"/>
      <c r="T266" s="2387"/>
      <c r="U266" s="2387"/>
      <c r="V266" s="2387"/>
      <c r="W266" s="2387"/>
      <c r="X266" s="2387"/>
      <c r="Y266" s="2387"/>
      <c r="Z266" s="2387"/>
      <c r="AA266" s="2387"/>
      <c r="AB266" s="2387"/>
      <c r="AC266" s="2387"/>
      <c r="AD266" s="2387"/>
      <c r="AF266" s="2378" t="s">
        <v>66</v>
      </c>
      <c r="AG266" s="2378"/>
      <c r="AH266" s="2378"/>
      <c r="AI266" s="2378"/>
      <c r="AJ266" s="2378"/>
      <c r="AK266" s="2378"/>
      <c r="AL266" s="2378"/>
      <c r="AM266" s="175"/>
      <c r="AN266" s="439"/>
    </row>
    <row r="267" spans="1:74" s="46" customFormat="1" ht="12.75" customHeight="1">
      <c r="A267" s="28"/>
      <c r="B267" s="173"/>
      <c r="C267" s="218"/>
      <c r="D267" s="144"/>
      <c r="E267" s="2387"/>
      <c r="F267" s="2387"/>
      <c r="G267" s="2387"/>
      <c r="H267" s="2387"/>
      <c r="I267" s="2387"/>
      <c r="J267" s="2387"/>
      <c r="K267" s="2387"/>
      <c r="L267" s="2387"/>
      <c r="M267" s="2387"/>
      <c r="N267" s="2387"/>
      <c r="O267" s="2387"/>
      <c r="P267" s="2387"/>
      <c r="Q267" s="2387"/>
      <c r="R267" s="2387"/>
      <c r="S267" s="2387"/>
      <c r="T267" s="2387"/>
      <c r="U267" s="2387"/>
      <c r="V267" s="2387"/>
      <c r="W267" s="2387"/>
      <c r="X267" s="2387"/>
      <c r="Y267" s="2387"/>
      <c r="Z267" s="2387"/>
      <c r="AA267" s="2387"/>
      <c r="AB267" s="2387"/>
      <c r="AC267" s="2387"/>
      <c r="AD267" s="2387"/>
      <c r="AE267" s="179"/>
      <c r="AF267" s="179"/>
      <c r="AG267" s="179"/>
      <c r="AH267" s="179"/>
      <c r="AI267" s="179"/>
      <c r="AJ267" s="179"/>
      <c r="AK267" s="179"/>
      <c r="AL267" s="1304"/>
      <c r="AM267" s="175"/>
      <c r="AN267" s="439"/>
    </row>
    <row r="268" spans="1:74" s="46" customFormat="1" ht="12.75" customHeight="1">
      <c r="A268" s="28"/>
      <c r="B268" s="173"/>
      <c r="C268" s="218"/>
      <c r="D268" s="144"/>
      <c r="E268" s="2387"/>
      <c r="F268" s="2387"/>
      <c r="G268" s="2387"/>
      <c r="H268" s="2387"/>
      <c r="I268" s="2387"/>
      <c r="J268" s="2387"/>
      <c r="K268" s="2387"/>
      <c r="L268" s="2387"/>
      <c r="M268" s="2387"/>
      <c r="N268" s="2387"/>
      <c r="O268" s="2387"/>
      <c r="P268" s="2387"/>
      <c r="Q268" s="2387"/>
      <c r="R268" s="2387"/>
      <c r="S268" s="2387"/>
      <c r="T268" s="2387"/>
      <c r="U268" s="2387"/>
      <c r="V268" s="2387"/>
      <c r="W268" s="2387"/>
      <c r="X268" s="2387"/>
      <c r="Y268" s="2387"/>
      <c r="Z268" s="2387"/>
      <c r="AA268" s="2387"/>
      <c r="AB268" s="2387"/>
      <c r="AC268" s="2387"/>
      <c r="AD268" s="2387"/>
      <c r="AE268" s="179"/>
      <c r="AF268" s="179"/>
      <c r="AG268" s="179"/>
      <c r="AH268" s="179"/>
      <c r="AI268" s="179"/>
      <c r="AJ268" s="179"/>
      <c r="AK268" s="179"/>
      <c r="AL268" s="1304"/>
      <c r="AM268" s="175"/>
      <c r="AN268" s="439"/>
    </row>
    <row r="269" spans="1:74" s="46" customFormat="1" ht="12.75" customHeight="1">
      <c r="A269" s="28"/>
      <c r="B269" s="173"/>
      <c r="C269" s="218"/>
      <c r="D269" s="144"/>
      <c r="E269" s="2387"/>
      <c r="F269" s="2387"/>
      <c r="G269" s="2387"/>
      <c r="H269" s="2387"/>
      <c r="I269" s="2387"/>
      <c r="J269" s="2387"/>
      <c r="K269" s="2387"/>
      <c r="L269" s="2387"/>
      <c r="M269" s="2387"/>
      <c r="N269" s="2387"/>
      <c r="O269" s="2387"/>
      <c r="P269" s="2387"/>
      <c r="Q269" s="2387"/>
      <c r="R269" s="2387"/>
      <c r="S269" s="2387"/>
      <c r="T269" s="2387"/>
      <c r="U269" s="2387"/>
      <c r="V269" s="2387"/>
      <c r="W269" s="2387"/>
      <c r="X269" s="2387"/>
      <c r="Y269" s="2387"/>
      <c r="Z269" s="2387"/>
      <c r="AA269" s="2387"/>
      <c r="AB269" s="2387"/>
      <c r="AC269" s="2387"/>
      <c r="AD269" s="2387"/>
      <c r="AE269" s="179"/>
      <c r="AF269" s="179"/>
      <c r="AG269" s="179"/>
      <c r="AH269" s="179"/>
      <c r="AI269" s="179"/>
      <c r="AJ269" s="179"/>
      <c r="AK269" s="179"/>
      <c r="AL269" s="1304"/>
      <c r="AM269" s="175"/>
      <c r="AN269" s="439"/>
    </row>
    <row r="270" spans="1:74" s="46" customFormat="1" ht="12.75" customHeight="1">
      <c r="A270" s="16"/>
      <c r="B270" s="16"/>
      <c r="C270" s="16"/>
      <c r="D270" s="16"/>
      <c r="E270" s="16"/>
      <c r="F270" s="16"/>
      <c r="G270" s="16"/>
      <c r="H270" s="16"/>
      <c r="I270" s="16"/>
      <c r="J270" s="16"/>
      <c r="K270" s="16"/>
      <c r="L270" s="16"/>
      <c r="M270" s="16"/>
      <c r="N270" s="16"/>
      <c r="O270" s="16"/>
      <c r="P270" s="16"/>
      <c r="Q270" s="16"/>
      <c r="R270" s="16"/>
      <c r="S270" s="16"/>
      <c r="T270" s="16"/>
      <c r="U270" s="16"/>
      <c r="V270" s="16"/>
      <c r="W270" s="16"/>
      <c r="X270" s="16"/>
      <c r="Y270" s="16"/>
      <c r="Z270" s="16"/>
      <c r="AA270" s="16"/>
      <c r="AB270" s="16"/>
      <c r="AC270" s="16"/>
      <c r="AD270" s="16"/>
      <c r="AE270" s="16"/>
      <c r="AF270" s="16"/>
      <c r="AG270" s="16"/>
      <c r="AH270" s="16"/>
      <c r="AI270" s="16"/>
      <c r="AJ270" s="16"/>
      <c r="AK270" s="16"/>
      <c r="AL270" s="16"/>
      <c r="AM270" s="16"/>
      <c r="AN270" s="439"/>
    </row>
    <row r="271" spans="1:74" s="46" customFormat="1" ht="12.75" customHeight="1">
      <c r="A271" s="28"/>
      <c r="B271" s="173"/>
      <c r="C271" s="218"/>
      <c r="D271" s="28" t="s">
        <v>163</v>
      </c>
      <c r="E271" s="190"/>
      <c r="F271" s="190"/>
      <c r="G271" s="190"/>
      <c r="H271" s="2388" t="s">
        <v>136</v>
      </c>
      <c r="I271" s="2388"/>
      <c r="J271" s="174"/>
      <c r="K271" s="174"/>
      <c r="L271" s="174"/>
      <c r="M271" s="174"/>
      <c r="N271" s="174"/>
      <c r="O271" s="174"/>
      <c r="P271" s="174"/>
      <c r="Q271" s="174"/>
      <c r="R271" s="174"/>
      <c r="S271" s="174"/>
      <c r="T271" s="174"/>
      <c r="U271" s="174"/>
      <c r="V271" s="174"/>
      <c r="W271" s="174"/>
      <c r="X271" s="174"/>
      <c r="Y271" s="174"/>
      <c r="Z271" s="174"/>
      <c r="AA271" s="174"/>
      <c r="AB271" s="174"/>
      <c r="AC271" s="174"/>
      <c r="AD271" s="174"/>
      <c r="AE271" s="174"/>
      <c r="AF271" s="174"/>
      <c r="AG271" s="27"/>
      <c r="AH271" s="28"/>
      <c r="AI271" s="105"/>
      <c r="AJ271" s="25"/>
      <c r="AK271" s="25"/>
      <c r="AL271" s="25"/>
      <c r="AM271" s="137"/>
      <c r="AN271" s="439"/>
    </row>
    <row r="272" spans="1:74" s="46" customFormat="1" ht="12.75" customHeight="1">
      <c r="A272" s="28"/>
      <c r="B272" s="173"/>
      <c r="C272" s="218"/>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173"/>
      <c r="AD272" s="27"/>
      <c r="AE272" s="27"/>
      <c r="AF272" s="27"/>
      <c r="AG272" s="27"/>
      <c r="AH272" s="28"/>
      <c r="AI272" s="105"/>
      <c r="AJ272" s="25"/>
      <c r="AK272" s="25"/>
      <c r="AL272" s="25"/>
      <c r="AM272" s="137"/>
      <c r="AN272" s="439"/>
    </row>
    <row r="273" spans="1:82" s="46" customFormat="1" ht="12.75" customHeight="1">
      <c r="A273" s="191"/>
      <c r="B273" s="219"/>
      <c r="C273" s="220"/>
      <c r="D273" s="201"/>
      <c r="E273" s="201"/>
      <c r="F273" s="201"/>
      <c r="G273" s="201"/>
      <c r="H273" s="201"/>
      <c r="I273" s="201"/>
      <c r="J273" s="201"/>
      <c r="K273" s="201"/>
      <c r="L273" s="201"/>
      <c r="M273" s="201"/>
      <c r="N273" s="201"/>
      <c r="O273" s="201"/>
      <c r="P273" s="201"/>
      <c r="Q273" s="201"/>
      <c r="R273" s="201"/>
      <c r="S273" s="201"/>
      <c r="T273" s="201"/>
      <c r="U273" s="201"/>
      <c r="V273" s="201"/>
      <c r="W273" s="201"/>
      <c r="X273" s="201"/>
      <c r="Y273" s="201"/>
      <c r="Z273" s="201"/>
      <c r="AA273" s="201"/>
      <c r="AB273" s="201"/>
      <c r="AC273" s="219"/>
      <c r="AD273" s="201"/>
      <c r="AE273" s="201"/>
      <c r="AF273" s="201"/>
      <c r="AG273" s="201"/>
      <c r="AH273" s="167"/>
      <c r="AI273" s="139" t="s">
        <v>223</v>
      </c>
      <c r="AJ273" s="2373">
        <f>VLOOKUP($H$271,$AP$216:$AQ$218,2,FALSE)</f>
        <v>0</v>
      </c>
      <c r="AK273" s="2374"/>
      <c r="AL273" s="25"/>
      <c r="AM273" s="137"/>
      <c r="AN273" s="439"/>
    </row>
    <row r="274" spans="1:82" s="16" customFormat="1">
      <c r="A274" s="28"/>
      <c r="B274" s="173"/>
      <c r="C274" s="218"/>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173"/>
      <c r="AD274" s="27"/>
      <c r="AE274" s="27"/>
      <c r="AF274" s="27"/>
      <c r="AG274" s="27"/>
      <c r="AH274" s="28"/>
      <c r="AI274" s="105"/>
      <c r="AJ274" s="25"/>
      <c r="AK274" s="25"/>
      <c r="AL274" s="25"/>
      <c r="AM274" s="137"/>
      <c r="AN274" s="317"/>
      <c r="AS274" s="1030"/>
      <c r="AT274" s="1030"/>
      <c r="AU274" s="1030"/>
      <c r="AV274" s="1030"/>
      <c r="AW274" s="1030"/>
      <c r="AX274" s="1030"/>
      <c r="AY274" s="1030"/>
      <c r="AZ274" s="1030"/>
      <c r="BA274" s="1030"/>
      <c r="BB274" s="1030"/>
      <c r="BC274" s="1030"/>
      <c r="BD274" s="1031"/>
      <c r="BE274" s="1031"/>
      <c r="BF274" s="1031"/>
      <c r="BG274" s="1031"/>
      <c r="BH274" s="1031"/>
      <c r="BI274" s="1030"/>
      <c r="BJ274" s="1030"/>
      <c r="BK274" s="1030"/>
      <c r="BL274" s="1030"/>
      <c r="BM274" s="1030"/>
      <c r="BN274" s="1030"/>
      <c r="BO274" s="1030"/>
      <c r="BP274" s="1030"/>
      <c r="BQ274" s="1030"/>
      <c r="BR274" s="1030"/>
      <c r="BS274" s="1030"/>
      <c r="BT274" s="1030"/>
      <c r="BU274" s="1030"/>
      <c r="BV274" s="1030"/>
      <c r="BW274" s="1030"/>
      <c r="BX274" s="1030"/>
      <c r="BY274" s="1030"/>
      <c r="BZ274" s="1030"/>
      <c r="CA274" s="1030"/>
      <c r="CB274" s="1030"/>
      <c r="CC274" s="1030"/>
      <c r="CD274" s="1030"/>
    </row>
    <row r="275" spans="1:82" s="16" customFormat="1">
      <c r="A275" s="28"/>
      <c r="B275" s="173"/>
      <c r="C275" s="48" t="s">
        <v>1842</v>
      </c>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173"/>
      <c r="AD275" s="27"/>
      <c r="AE275" s="27"/>
      <c r="AF275" s="27"/>
      <c r="AG275" s="27"/>
      <c r="AH275" s="28"/>
      <c r="AI275" s="105"/>
      <c r="AJ275" s="25"/>
      <c r="AK275" s="25"/>
      <c r="AL275" s="25"/>
      <c r="AM275" s="137"/>
      <c r="AN275" s="317"/>
      <c r="AO275" s="50"/>
      <c r="AT275" s="1030"/>
      <c r="AU275" s="1030"/>
      <c r="AV275" s="1030"/>
      <c r="AW275" s="1030"/>
      <c r="AX275" s="1030"/>
      <c r="AY275" s="1030"/>
      <c r="AZ275" s="1030"/>
    </row>
    <row r="276" spans="1:82" s="16" customFormat="1">
      <c r="A276" s="28"/>
      <c r="B276" s="173"/>
      <c r="C276" s="218"/>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173"/>
      <c r="AD276" s="27"/>
      <c r="AL276" s="25"/>
      <c r="AM276" s="137"/>
      <c r="AN276" s="317"/>
      <c r="AO276" s="46" t="s">
        <v>136</v>
      </c>
      <c r="AP276" s="1032">
        <v>0</v>
      </c>
      <c r="AS276" s="1030"/>
      <c r="AT276" s="1030"/>
      <c r="AU276" s="1030"/>
      <c r="AV276" s="1030"/>
      <c r="AW276" s="1030"/>
      <c r="AX276" s="1030"/>
      <c r="AY276" s="1030"/>
      <c r="AZ276" s="1030"/>
      <c r="BA276" s="1030"/>
      <c r="BB276" s="1030"/>
      <c r="BC276" s="1030"/>
      <c r="BD276" s="1031"/>
      <c r="BE276" s="1031"/>
      <c r="BF276" s="1031"/>
      <c r="BG276" s="1031"/>
      <c r="BH276" s="1031"/>
      <c r="BI276" s="1030"/>
      <c r="BJ276" s="1030"/>
      <c r="BK276" s="1030"/>
      <c r="BL276" s="1030"/>
      <c r="BM276" s="1030"/>
      <c r="BN276" s="1030"/>
      <c r="BO276" s="1030"/>
      <c r="BP276" s="1030"/>
      <c r="BQ276" s="1030"/>
      <c r="BR276" s="1030"/>
      <c r="BS276" s="1030"/>
      <c r="BT276" s="1030"/>
      <c r="BU276" s="1030"/>
      <c r="BV276" s="1030"/>
      <c r="BW276" s="1030"/>
      <c r="BX276" s="1030"/>
      <c r="BY276" s="1030"/>
      <c r="BZ276" s="1030"/>
      <c r="CA276" s="1030"/>
      <c r="CB276" s="1030"/>
      <c r="CC276" s="1030"/>
      <c r="CD276" s="1030"/>
    </row>
    <row r="277" spans="1:82" s="16" customFormat="1" ht="13.65" customHeight="1">
      <c r="A277" s="28"/>
      <c r="B277" s="173"/>
      <c r="C277" s="218"/>
      <c r="D277" s="144" t="s">
        <v>641</v>
      </c>
      <c r="E277" s="2340" t="s">
        <v>2240</v>
      </c>
      <c r="F277" s="2340"/>
      <c r="G277" s="2340"/>
      <c r="H277" s="2340"/>
      <c r="I277" s="2340"/>
      <c r="J277" s="2340"/>
      <c r="K277" s="2340"/>
      <c r="L277" s="2340"/>
      <c r="M277" s="2340"/>
      <c r="N277" s="2340"/>
      <c r="O277" s="2340"/>
      <c r="P277" s="2340"/>
      <c r="Q277" s="2340"/>
      <c r="R277" s="2340"/>
      <c r="S277" s="2340"/>
      <c r="T277" s="2340"/>
      <c r="U277" s="2340"/>
      <c r="V277" s="2340"/>
      <c r="W277" s="2340"/>
      <c r="X277" s="2340"/>
      <c r="Y277" s="2340"/>
      <c r="Z277" s="2340"/>
      <c r="AA277" s="2340"/>
      <c r="AB277" s="2340"/>
      <c r="AC277" s="2340"/>
      <c r="AD277" s="2340"/>
      <c r="AF277" s="2378" t="s">
        <v>1843</v>
      </c>
      <c r="AG277" s="2378"/>
      <c r="AH277" s="2378"/>
      <c r="AI277" s="2378"/>
      <c r="AJ277" s="2378"/>
      <c r="AK277" s="2378"/>
      <c r="AL277" s="2378"/>
      <c r="AM277" s="175"/>
      <c r="AN277" s="317"/>
      <c r="AO277" s="144" t="s">
        <v>119</v>
      </c>
      <c r="AP277" s="46">
        <v>8</v>
      </c>
      <c r="AT277" s="1030"/>
      <c r="AU277" s="1030"/>
      <c r="AV277" s="1030"/>
      <c r="AW277" s="1030"/>
      <c r="AX277" s="1030"/>
      <c r="AY277" s="1030"/>
      <c r="AZ277" s="1030"/>
    </row>
    <row r="278" spans="1:82" s="16" customFormat="1">
      <c r="A278" s="28"/>
      <c r="B278" s="173"/>
      <c r="C278" s="218"/>
      <c r="D278" s="144"/>
      <c r="E278" s="2340"/>
      <c r="F278" s="2340"/>
      <c r="G278" s="2340"/>
      <c r="H278" s="2340"/>
      <c r="I278" s="2340"/>
      <c r="J278" s="2340"/>
      <c r="K278" s="2340"/>
      <c r="L278" s="2340"/>
      <c r="M278" s="2340"/>
      <c r="N278" s="2340"/>
      <c r="O278" s="2340"/>
      <c r="P278" s="2340"/>
      <c r="Q278" s="2340"/>
      <c r="R278" s="2340"/>
      <c r="S278" s="2340"/>
      <c r="T278" s="2340"/>
      <c r="U278" s="2340"/>
      <c r="V278" s="2340"/>
      <c r="W278" s="2340"/>
      <c r="X278" s="2340"/>
      <c r="Y278" s="2340"/>
      <c r="Z278" s="2340"/>
      <c r="AA278" s="2340"/>
      <c r="AB278" s="2340"/>
      <c r="AC278" s="2340"/>
      <c r="AD278" s="2340"/>
      <c r="AE278" s="1023"/>
      <c r="AF278" s="1023"/>
      <c r="AG278" s="1023"/>
      <c r="AH278" s="1023"/>
      <c r="AI278" s="1023"/>
      <c r="AJ278" s="1023"/>
      <c r="AK278" s="1023"/>
      <c r="AL278" s="1304"/>
      <c r="AM278" s="175"/>
      <c r="AN278" s="317"/>
      <c r="AO278" s="144"/>
      <c r="AP278" s="46"/>
      <c r="AT278" s="1030"/>
      <c r="AU278" s="1030"/>
      <c r="AV278" s="1030"/>
      <c r="AW278" s="1030"/>
      <c r="AX278" s="1030"/>
      <c r="AY278" s="1030"/>
      <c r="AZ278" s="1030"/>
    </row>
    <row r="279" spans="1:82" s="16" customFormat="1">
      <c r="A279" s="28"/>
      <c r="B279" s="173"/>
      <c r="C279" s="218"/>
      <c r="D279" s="144"/>
      <c r="E279" s="2340"/>
      <c r="F279" s="2340"/>
      <c r="G279" s="2340"/>
      <c r="H279" s="2340"/>
      <c r="I279" s="2340"/>
      <c r="J279" s="2340"/>
      <c r="K279" s="2340"/>
      <c r="L279" s="2340"/>
      <c r="M279" s="2340"/>
      <c r="N279" s="2340"/>
      <c r="O279" s="2340"/>
      <c r="P279" s="2340"/>
      <c r="Q279" s="2340"/>
      <c r="R279" s="2340"/>
      <c r="S279" s="2340"/>
      <c r="T279" s="2340"/>
      <c r="U279" s="2340"/>
      <c r="V279" s="2340"/>
      <c r="W279" s="2340"/>
      <c r="X279" s="2340"/>
      <c r="Y279" s="2340"/>
      <c r="Z279" s="2340"/>
      <c r="AA279" s="2340"/>
      <c r="AB279" s="2340"/>
      <c r="AC279" s="2340"/>
      <c r="AD279" s="2340"/>
      <c r="AE279" s="1023"/>
      <c r="AF279" s="1023"/>
      <c r="AG279" s="1023"/>
      <c r="AH279" s="1023"/>
      <c r="AI279" s="1023"/>
      <c r="AJ279" s="1023"/>
      <c r="AK279" s="1023"/>
      <c r="AL279" s="1304"/>
      <c r="AM279" s="175"/>
      <c r="AN279" s="317"/>
      <c r="AO279" s="306"/>
      <c r="AT279" s="1030"/>
      <c r="AU279" s="1030"/>
      <c r="AV279" s="1030"/>
      <c r="AW279" s="1030"/>
      <c r="AX279" s="1030"/>
      <c r="AY279" s="1030"/>
      <c r="AZ279" s="1030"/>
    </row>
    <row r="280" spans="1:82" s="16" customFormat="1">
      <c r="A280" s="28"/>
      <c r="B280" s="173"/>
      <c r="C280" s="218"/>
      <c r="D280" s="144"/>
      <c r="E280" s="1024"/>
      <c r="F280" s="1024"/>
      <c r="G280" s="1024"/>
      <c r="H280" s="1024"/>
      <c r="I280" s="1024"/>
      <c r="J280" s="1024"/>
      <c r="K280" s="1024"/>
      <c r="L280" s="1024"/>
      <c r="M280" s="1024"/>
      <c r="N280" s="1024"/>
      <c r="O280" s="1024"/>
      <c r="P280" s="1024"/>
      <c r="Q280" s="1024"/>
      <c r="R280" s="1024"/>
      <c r="S280" s="1024"/>
      <c r="T280" s="1024"/>
      <c r="U280" s="1024"/>
      <c r="V280" s="1024"/>
      <c r="W280" s="1024"/>
      <c r="X280" s="1024"/>
      <c r="Y280" s="1024"/>
      <c r="Z280" s="1024"/>
      <c r="AA280" s="1024"/>
      <c r="AB280" s="1024"/>
      <c r="AC280" s="1024"/>
      <c r="AD280" s="1024"/>
      <c r="AE280" s="1023"/>
      <c r="AF280" s="1023"/>
      <c r="AG280" s="1023"/>
      <c r="AH280" s="1023"/>
      <c r="AI280" s="1023"/>
      <c r="AJ280" s="1023"/>
      <c r="AK280" s="1023"/>
      <c r="AL280" s="1304"/>
      <c r="AM280" s="175"/>
      <c r="AN280" s="317"/>
      <c r="AO280" s="306"/>
      <c r="AT280" s="1030"/>
      <c r="AU280" s="1030"/>
      <c r="AV280" s="1030"/>
      <c r="AW280" s="1030"/>
      <c r="AX280" s="1030"/>
      <c r="AY280" s="1030"/>
      <c r="AZ280" s="1030"/>
    </row>
    <row r="281" spans="1:82" s="16" customFormat="1">
      <c r="A281" s="28"/>
      <c r="B281" s="173"/>
      <c r="C281" s="218"/>
      <c r="D281" s="28" t="s">
        <v>163</v>
      </c>
      <c r="E281" s="1025"/>
      <c r="F281" s="1025"/>
      <c r="G281" s="1025"/>
      <c r="H281" s="2388" t="s">
        <v>136</v>
      </c>
      <c r="I281" s="2388"/>
      <c r="J281" s="27"/>
      <c r="K281" s="27"/>
      <c r="L281" s="27"/>
      <c r="M281" s="27"/>
      <c r="N281" s="27"/>
      <c r="O281" s="27"/>
      <c r="P281" s="27"/>
      <c r="Q281" s="27"/>
      <c r="R281" s="27"/>
      <c r="S281" s="27"/>
      <c r="T281" s="27"/>
      <c r="U281" s="27"/>
      <c r="V281" s="27"/>
      <c r="W281" s="27"/>
      <c r="X281" s="27"/>
      <c r="Y281" s="27"/>
      <c r="Z281" s="27"/>
      <c r="AA281" s="27"/>
      <c r="AB281" s="27"/>
      <c r="AC281" s="173"/>
      <c r="AD281" s="27"/>
      <c r="AE281" s="27"/>
      <c r="AF281" s="27"/>
      <c r="AG281" s="27"/>
      <c r="AH281" s="28"/>
      <c r="AI281" s="105"/>
      <c r="AJ281" s="25"/>
      <c r="AK281" s="25"/>
      <c r="AL281" s="25"/>
      <c r="AM281" s="137"/>
      <c r="AN281" s="317"/>
      <c r="AS281" s="1030"/>
      <c r="AT281" s="1030"/>
      <c r="AU281" s="1030"/>
      <c r="AV281" s="1030"/>
      <c r="AW281" s="1030"/>
      <c r="AX281" s="1030"/>
      <c r="AY281" s="1030"/>
      <c r="AZ281" s="1030"/>
      <c r="BA281" s="1030"/>
      <c r="BB281" s="1030"/>
      <c r="BC281" s="1030"/>
      <c r="BD281" s="1031"/>
      <c r="BE281" s="1031"/>
      <c r="BF281" s="1031"/>
      <c r="BG281" s="1031"/>
      <c r="BH281" s="1031"/>
      <c r="BI281" s="1030"/>
      <c r="BJ281" s="1030"/>
      <c r="BK281" s="1030"/>
      <c r="BL281" s="1030"/>
      <c r="BM281" s="1030"/>
      <c r="BN281" s="1030"/>
      <c r="BO281" s="1030"/>
      <c r="BP281" s="1030"/>
      <c r="BQ281" s="1030"/>
      <c r="BR281" s="1030"/>
      <c r="BS281" s="1030"/>
      <c r="BT281" s="1030"/>
      <c r="BU281" s="1030"/>
      <c r="BV281" s="1030"/>
      <c r="BW281" s="1030"/>
      <c r="BX281" s="1030"/>
      <c r="BY281" s="1030"/>
      <c r="BZ281" s="1030"/>
      <c r="CA281" s="1030"/>
      <c r="CB281" s="1030"/>
      <c r="CC281" s="1030"/>
      <c r="CD281" s="1030"/>
    </row>
    <row r="282" spans="1:82" s="16" customFormat="1">
      <c r="A282" s="28"/>
      <c r="B282" s="173"/>
      <c r="C282" s="218"/>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173"/>
      <c r="AE282" s="27"/>
      <c r="AF282" s="27"/>
      <c r="AG282" s="27"/>
      <c r="AH282" s="27"/>
      <c r="AI282" s="153"/>
      <c r="AJ282" s="137"/>
      <c r="AK282" s="153"/>
      <c r="AL282" s="153"/>
      <c r="AM282" s="153"/>
      <c r="AN282" s="317"/>
      <c r="AT282" s="1030"/>
      <c r="AU282" s="1030"/>
      <c r="AV282" s="1030"/>
      <c r="AW282" s="1030"/>
      <c r="AX282" s="1030"/>
      <c r="AY282" s="1030"/>
      <c r="AZ282" s="1030"/>
    </row>
    <row r="283" spans="1:82" s="16" customFormat="1">
      <c r="A283" s="191"/>
      <c r="B283" s="219"/>
      <c r="C283" s="220"/>
      <c r="D283" s="201"/>
      <c r="E283" s="201"/>
      <c r="F283" s="201"/>
      <c r="G283" s="201"/>
      <c r="H283" s="201"/>
      <c r="I283" s="201"/>
      <c r="J283" s="201"/>
      <c r="K283" s="201"/>
      <c r="L283" s="201"/>
      <c r="M283" s="201"/>
      <c r="N283" s="201"/>
      <c r="O283" s="201"/>
      <c r="P283" s="201"/>
      <c r="Q283" s="201"/>
      <c r="R283" s="201"/>
      <c r="S283" s="201"/>
      <c r="T283" s="201"/>
      <c r="U283" s="201"/>
      <c r="V283" s="201"/>
      <c r="W283" s="201"/>
      <c r="X283" s="201"/>
      <c r="Y283" s="201"/>
      <c r="Z283" s="201"/>
      <c r="AA283" s="201"/>
      <c r="AB283" s="201"/>
      <c r="AC283" s="219"/>
      <c r="AD283" s="201"/>
      <c r="AE283" s="201"/>
      <c r="AF283" s="201"/>
      <c r="AG283" s="201"/>
      <c r="AH283" s="167"/>
      <c r="AI283" s="1021" t="s">
        <v>1944</v>
      </c>
      <c r="AJ283" s="2373">
        <f>VLOOKUP($H$281,$AO$276:$AP$277,2,FALSE)</f>
        <v>0</v>
      </c>
      <c r="AK283" s="2374"/>
      <c r="AL283" s="25"/>
      <c r="AM283" s="137"/>
      <c r="AN283" s="317"/>
      <c r="AS283" s="1030"/>
      <c r="AT283" s="1030"/>
      <c r="AU283" s="1030"/>
      <c r="AV283" s="1030"/>
      <c r="AW283" s="1030"/>
      <c r="AX283" s="1030"/>
      <c r="AY283" s="1030"/>
      <c r="AZ283" s="1030"/>
      <c r="BA283" s="1030"/>
      <c r="BB283" s="1030"/>
      <c r="BC283" s="1030"/>
      <c r="BD283" s="1031"/>
      <c r="BE283" s="1031"/>
      <c r="BF283" s="1031"/>
      <c r="BG283" s="1031"/>
      <c r="BH283" s="1031"/>
      <c r="BI283" s="1030"/>
      <c r="BJ283" s="1030"/>
      <c r="BK283" s="1030"/>
      <c r="BL283" s="1030"/>
      <c r="BM283" s="1030"/>
      <c r="BN283" s="1030"/>
      <c r="BO283" s="1030"/>
      <c r="BP283" s="1030"/>
      <c r="BQ283" s="1030"/>
      <c r="BR283" s="1030"/>
      <c r="BS283" s="1030"/>
      <c r="BT283" s="1030"/>
      <c r="BU283" s="1030"/>
      <c r="BV283" s="1030"/>
      <c r="BW283" s="1030"/>
      <c r="BX283" s="1030"/>
      <c r="BY283" s="1030"/>
      <c r="BZ283" s="1030"/>
      <c r="CA283" s="1030"/>
      <c r="CB283" s="1030"/>
      <c r="CC283" s="1030"/>
      <c r="CD283" s="1030"/>
    </row>
    <row r="284" spans="1:82" s="46" customFormat="1" ht="12.75" customHeight="1">
      <c r="A284" s="28"/>
      <c r="B284" s="173"/>
      <c r="C284" s="218"/>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173"/>
      <c r="AE284" s="27"/>
      <c r="AF284" s="27"/>
      <c r="AG284" s="27"/>
      <c r="AH284" s="27"/>
      <c r="AI284" s="153"/>
      <c r="AJ284" s="137"/>
      <c r="AK284" s="153"/>
      <c r="AL284" s="153"/>
      <c r="AM284" s="153"/>
      <c r="AN284" s="439"/>
    </row>
    <row r="285" spans="1:82" s="46" customFormat="1" ht="12.75" customHeight="1">
      <c r="A285" s="156"/>
      <c r="B285" s="201"/>
      <c r="C285" s="201"/>
      <c r="D285" s="201"/>
      <c r="E285" s="201"/>
      <c r="F285" s="201"/>
      <c r="G285" s="201"/>
      <c r="H285" s="201"/>
      <c r="I285" s="201"/>
      <c r="J285" s="201"/>
      <c r="K285" s="201"/>
      <c r="L285" s="201"/>
      <c r="M285" s="201"/>
      <c r="N285" s="201"/>
      <c r="O285" s="201"/>
      <c r="P285" s="201"/>
      <c r="Q285" s="201"/>
      <c r="R285" s="201"/>
      <c r="S285" s="201"/>
      <c r="T285" s="201"/>
      <c r="U285" s="201"/>
      <c r="V285" s="201"/>
      <c r="W285" s="201"/>
      <c r="X285" s="201"/>
      <c r="Y285" s="201"/>
      <c r="Z285" s="201"/>
      <c r="AA285" s="201"/>
      <c r="AB285" s="201"/>
      <c r="AC285" s="219"/>
      <c r="AD285" s="201"/>
      <c r="AE285" s="157"/>
      <c r="AF285" s="157"/>
      <c r="AG285" s="157"/>
      <c r="AH285" s="157"/>
      <c r="AI285" s="1308"/>
      <c r="AJ285" s="1308" t="s">
        <v>39</v>
      </c>
      <c r="AK285" s="2373">
        <f>$AJ$129+$AJ$144+$AJ$156+$AJ$189+$AJ$208+$AJ$220+$AJ$232+$AJ$246+$AJ$258+$AJ$273+AJ283</f>
        <v>20</v>
      </c>
      <c r="AL285" s="2456"/>
      <c r="AM285" s="2374"/>
      <c r="AN285" s="439"/>
    </row>
    <row r="286" spans="1:82" s="46" customFormat="1" ht="12.75" customHeight="1" thickBot="1">
      <c r="A286" s="153"/>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173"/>
      <c r="AD286" s="27"/>
      <c r="AE286" s="153"/>
      <c r="AF286" s="153"/>
      <c r="AG286" s="153"/>
      <c r="AH286" s="153"/>
      <c r="AI286" s="105"/>
      <c r="AJ286" s="25"/>
      <c r="AK286" s="25"/>
      <c r="AL286" s="25"/>
      <c r="AM286" s="137"/>
      <c r="AN286" s="439"/>
    </row>
    <row r="287" spans="1:82" s="46" customFormat="1" ht="12.75" customHeight="1" thickTop="1">
      <c r="A287" s="440"/>
      <c r="B287" s="441" t="s">
        <v>98</v>
      </c>
      <c r="C287" s="442"/>
      <c r="D287" s="442"/>
      <c r="E287" s="442"/>
      <c r="F287" s="442"/>
      <c r="G287" s="442"/>
      <c r="H287" s="442"/>
      <c r="I287" s="442"/>
      <c r="J287" s="442"/>
      <c r="K287" s="442"/>
      <c r="L287" s="442"/>
      <c r="M287" s="442"/>
      <c r="N287" s="442"/>
      <c r="O287" s="442"/>
      <c r="P287" s="442"/>
      <c r="Q287" s="442"/>
      <c r="R287" s="442"/>
      <c r="S287" s="442"/>
      <c r="T287" s="442"/>
      <c r="U287" s="442"/>
      <c r="V287" s="442"/>
      <c r="W287" s="442"/>
      <c r="X287" s="442"/>
      <c r="Y287" s="442"/>
      <c r="Z287" s="442"/>
      <c r="AA287" s="442"/>
      <c r="AB287" s="442"/>
      <c r="AC287" s="443"/>
      <c r="AD287" s="442"/>
      <c r="AE287" s="444"/>
      <c r="AF287" s="444"/>
      <c r="AG287" s="444"/>
      <c r="AH287" s="444"/>
      <c r="AI287" s="445"/>
      <c r="AJ287" s="446"/>
      <c r="AK287" s="446"/>
      <c r="AL287" s="446"/>
      <c r="AM287" s="444"/>
      <c r="AN287" s="439"/>
    </row>
    <row r="288" spans="1:82" s="46" customFormat="1" ht="12.75" customHeight="1">
      <c r="A288" s="153"/>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173"/>
      <c r="AD288" s="27"/>
      <c r="AE288" s="153"/>
      <c r="AF288" s="153"/>
      <c r="AG288" s="153"/>
      <c r="AH288" s="153"/>
      <c r="AI288" s="105"/>
      <c r="AJ288" s="25"/>
      <c r="AK288" s="25"/>
      <c r="AL288" s="25"/>
      <c r="AM288" s="137"/>
      <c r="AN288" s="439"/>
    </row>
    <row r="289" spans="1:41" s="46" customFormat="1" ht="12.75" customHeight="1">
      <c r="A289" s="153"/>
      <c r="B289" s="72" t="s">
        <v>100</v>
      </c>
      <c r="C289" s="72"/>
      <c r="D289" s="72"/>
      <c r="E289" s="72"/>
      <c r="F289" s="72"/>
      <c r="G289" s="16"/>
      <c r="H289" s="1508" t="s">
        <v>2446</v>
      </c>
      <c r="I289" s="1508"/>
      <c r="J289" s="1508"/>
      <c r="K289" s="1508"/>
      <c r="L289" s="1508"/>
      <c r="M289" s="1508"/>
      <c r="N289" s="1508"/>
      <c r="O289" s="1508"/>
      <c r="P289" s="1508"/>
      <c r="Q289" s="1508"/>
      <c r="R289" s="1508"/>
      <c r="S289" s="16"/>
      <c r="T289" s="72" t="s">
        <v>100</v>
      </c>
      <c r="U289" s="16"/>
      <c r="V289" s="72"/>
      <c r="W289" s="72"/>
      <c r="X289" s="72"/>
      <c r="Y289" s="72"/>
      <c r="Z289" s="16"/>
      <c r="AA289" s="1508" t="s">
        <v>2453</v>
      </c>
      <c r="AB289" s="1508"/>
      <c r="AC289" s="1508"/>
      <c r="AD289" s="1508"/>
      <c r="AE289" s="1508"/>
      <c r="AF289" s="1508"/>
      <c r="AG289" s="1508"/>
      <c r="AH289" s="1508"/>
      <c r="AI289" s="1508"/>
      <c r="AJ289" s="1508"/>
      <c r="AK289" s="1508"/>
      <c r="AL289" s="25"/>
      <c r="AM289" s="137"/>
      <c r="AN289" s="439"/>
    </row>
    <row r="290" spans="1:41" s="46" customFormat="1" ht="12.75" customHeight="1">
      <c r="A290" s="153"/>
      <c r="B290" s="72" t="s">
        <v>765</v>
      </c>
      <c r="C290" s="72"/>
      <c r="D290" s="72"/>
      <c r="E290" s="72"/>
      <c r="F290" s="72"/>
      <c r="G290" s="16"/>
      <c r="H290" s="1509" t="s">
        <v>2447</v>
      </c>
      <c r="I290" s="1509"/>
      <c r="J290" s="1509"/>
      <c r="K290" s="1509"/>
      <c r="L290" s="1509"/>
      <c r="M290" s="1509"/>
      <c r="N290" s="1509"/>
      <c r="O290" s="1509"/>
      <c r="P290" s="1509"/>
      <c r="Q290" s="1509"/>
      <c r="R290" s="1509"/>
      <c r="S290" s="16"/>
      <c r="T290" s="72" t="s">
        <v>765</v>
      </c>
      <c r="U290" s="16"/>
      <c r="V290" s="72"/>
      <c r="W290" s="72"/>
      <c r="X290" s="72"/>
      <c r="Y290" s="72"/>
      <c r="Z290" s="16"/>
      <c r="AA290" s="1509" t="s">
        <v>2454</v>
      </c>
      <c r="AB290" s="1509"/>
      <c r="AC290" s="1509"/>
      <c r="AD290" s="1509"/>
      <c r="AE290" s="1509"/>
      <c r="AF290" s="1509"/>
      <c r="AG290" s="1509"/>
      <c r="AH290" s="1509"/>
      <c r="AI290" s="1509"/>
      <c r="AJ290" s="1509"/>
      <c r="AK290" s="1509"/>
      <c r="AL290" s="25"/>
      <c r="AM290" s="137"/>
      <c r="AN290" s="439"/>
    </row>
    <row r="291" spans="1:41" s="46" customFormat="1" ht="12.75" customHeight="1">
      <c r="A291" s="153"/>
      <c r="B291" s="72" t="s">
        <v>110</v>
      </c>
      <c r="C291" s="72"/>
      <c r="D291" s="72"/>
      <c r="E291" s="72"/>
      <c r="F291" s="72"/>
      <c r="G291" s="16"/>
      <c r="H291" s="1509" t="s">
        <v>2448</v>
      </c>
      <c r="I291" s="1509"/>
      <c r="J291" s="1509"/>
      <c r="K291" s="1509"/>
      <c r="L291" s="1509"/>
      <c r="M291" s="1509"/>
      <c r="N291" s="1509"/>
      <c r="O291" s="1509"/>
      <c r="P291" s="1509"/>
      <c r="Q291" s="1509"/>
      <c r="R291" s="1509"/>
      <c r="S291" s="16"/>
      <c r="T291" s="72" t="s">
        <v>110</v>
      </c>
      <c r="U291" s="16"/>
      <c r="V291" s="72"/>
      <c r="W291" s="72"/>
      <c r="X291" s="72"/>
      <c r="Y291" s="72"/>
      <c r="Z291" s="16"/>
      <c r="AA291" s="1509" t="s">
        <v>2455</v>
      </c>
      <c r="AB291" s="1509"/>
      <c r="AC291" s="1509"/>
      <c r="AD291" s="1509"/>
      <c r="AE291" s="1509"/>
      <c r="AF291" s="1509"/>
      <c r="AG291" s="1509"/>
      <c r="AH291" s="1509"/>
      <c r="AI291" s="1509"/>
      <c r="AJ291" s="1509"/>
      <c r="AK291" s="1509"/>
      <c r="AL291" s="25"/>
      <c r="AM291" s="137"/>
      <c r="AN291" s="439"/>
      <c r="AO291" s="331"/>
    </row>
    <row r="292" spans="1:41" s="46" customFormat="1" ht="12.75" customHeight="1">
      <c r="A292" s="153"/>
      <c r="B292" s="72" t="s">
        <v>418</v>
      </c>
      <c r="C292" s="72"/>
      <c r="D292" s="72"/>
      <c r="E292" s="72"/>
      <c r="F292" s="72"/>
      <c r="G292" s="16"/>
      <c r="H292" s="1509" t="s">
        <v>2449</v>
      </c>
      <c r="I292" s="1509"/>
      <c r="J292" s="1509"/>
      <c r="K292" s="1509"/>
      <c r="L292" s="1509"/>
      <c r="M292" s="1509"/>
      <c r="N292" s="1509"/>
      <c r="O292" s="1509"/>
      <c r="P292" s="1509"/>
      <c r="Q292" s="1509"/>
      <c r="R292" s="1509"/>
      <c r="S292" s="16"/>
      <c r="T292" s="72" t="s">
        <v>418</v>
      </c>
      <c r="U292" s="16"/>
      <c r="V292" s="72"/>
      <c r="W292" s="72"/>
      <c r="X292" s="72"/>
      <c r="Y292" s="72"/>
      <c r="Z292" s="16"/>
      <c r="AA292" s="1509" t="s">
        <v>2456</v>
      </c>
      <c r="AB292" s="1509"/>
      <c r="AC292" s="1509"/>
      <c r="AD292" s="1509"/>
      <c r="AE292" s="1509"/>
      <c r="AF292" s="1509"/>
      <c r="AG292" s="1509"/>
      <c r="AH292" s="1509"/>
      <c r="AI292" s="1509"/>
      <c r="AJ292" s="1509"/>
      <c r="AK292" s="1509"/>
      <c r="AL292" s="25"/>
      <c r="AM292" s="137"/>
      <c r="AN292" s="439"/>
      <c r="AO292" s="331"/>
    </row>
    <row r="293" spans="1:41" s="46" customFormat="1" ht="12.75" customHeight="1">
      <c r="A293" s="153"/>
      <c r="B293" s="72" t="s">
        <v>419</v>
      </c>
      <c r="C293" s="72"/>
      <c r="D293" s="72"/>
      <c r="E293" s="72"/>
      <c r="F293" s="72"/>
      <c r="G293" s="72"/>
      <c r="H293" s="1898" t="s">
        <v>2450</v>
      </c>
      <c r="I293" s="2072"/>
      <c r="J293" s="2072"/>
      <c r="K293" s="2072"/>
      <c r="L293" s="2072"/>
      <c r="M293" s="2072"/>
      <c r="N293" s="8" t="s">
        <v>900</v>
      </c>
      <c r="O293" s="8"/>
      <c r="P293" s="2070"/>
      <c r="Q293" s="2070"/>
      <c r="R293" s="2070"/>
      <c r="S293" s="72"/>
      <c r="T293" s="72" t="s">
        <v>419</v>
      </c>
      <c r="U293" s="16"/>
      <c r="V293" s="72"/>
      <c r="W293" s="72"/>
      <c r="X293" s="72"/>
      <c r="Y293" s="72"/>
      <c r="Z293" s="16"/>
      <c r="AA293" s="1898" t="s">
        <v>2457</v>
      </c>
      <c r="AB293" s="2072"/>
      <c r="AC293" s="2072"/>
      <c r="AD293" s="2072"/>
      <c r="AE293" s="2072"/>
      <c r="AF293" s="2072"/>
      <c r="AG293" s="8" t="s">
        <v>900</v>
      </c>
      <c r="AH293" s="8"/>
      <c r="AI293" s="2070"/>
      <c r="AJ293" s="2070"/>
      <c r="AK293" s="2070"/>
      <c r="AL293" s="25"/>
      <c r="AM293" s="137"/>
      <c r="AN293" s="439"/>
      <c r="AO293" s="331"/>
    </row>
    <row r="294" spans="1:41" s="46" customFormat="1" ht="12.75" customHeight="1">
      <c r="A294" s="153"/>
      <c r="B294" s="72" t="s">
        <v>99</v>
      </c>
      <c r="C294" s="72"/>
      <c r="D294" s="72"/>
      <c r="E294" s="72"/>
      <c r="F294" s="72"/>
      <c r="G294" s="72"/>
      <c r="H294" s="1796" t="s">
        <v>103</v>
      </c>
      <c r="I294" s="1796"/>
      <c r="J294" s="1796"/>
      <c r="K294" s="1796"/>
      <c r="L294" s="1796"/>
      <c r="M294" s="1796"/>
      <c r="N294" s="1796"/>
      <c r="O294" s="1796"/>
      <c r="P294" s="1796"/>
      <c r="Q294" s="1796"/>
      <c r="R294" s="1796"/>
      <c r="S294" s="72"/>
      <c r="T294" s="72" t="s">
        <v>99</v>
      </c>
      <c r="U294" s="16"/>
      <c r="V294" s="72"/>
      <c r="W294" s="72"/>
      <c r="X294" s="72"/>
      <c r="Y294" s="72"/>
      <c r="Z294" s="16"/>
      <c r="AA294" s="1796" t="s">
        <v>102</v>
      </c>
      <c r="AB294" s="1796"/>
      <c r="AC294" s="1796"/>
      <c r="AD294" s="1796"/>
      <c r="AE294" s="1796"/>
      <c r="AF294" s="1796"/>
      <c r="AG294" s="1796"/>
      <c r="AH294" s="1796"/>
      <c r="AI294" s="1796"/>
      <c r="AJ294" s="1796"/>
      <c r="AK294" s="1796"/>
      <c r="AL294" s="25"/>
      <c r="AM294" s="137"/>
      <c r="AN294" s="439"/>
      <c r="AO294" s="331"/>
    </row>
    <row r="295" spans="1:41" s="46" customFormat="1" ht="12.75" customHeight="1">
      <c r="A295" s="153"/>
      <c r="B295" s="72" t="s">
        <v>101</v>
      </c>
      <c r="C295" s="72"/>
      <c r="D295" s="72"/>
      <c r="E295" s="72"/>
      <c r="F295" s="72"/>
      <c r="G295" s="72"/>
      <c r="H295" s="1797" t="s">
        <v>2451</v>
      </c>
      <c r="I295" s="1796"/>
      <c r="J295" s="1796"/>
      <c r="K295" s="1796"/>
      <c r="L295" s="1796"/>
      <c r="M295" s="1796"/>
      <c r="N295" s="1796"/>
      <c r="O295" s="1796"/>
      <c r="P295" s="1796"/>
      <c r="Q295" s="1796"/>
      <c r="R295" s="1796"/>
      <c r="S295" s="72"/>
      <c r="T295" s="72" t="s">
        <v>101</v>
      </c>
      <c r="U295" s="16"/>
      <c r="V295" s="72"/>
      <c r="W295" s="72"/>
      <c r="X295" s="72"/>
      <c r="Y295" s="72"/>
      <c r="Z295" s="16"/>
      <c r="AA295" s="1797" t="s">
        <v>2458</v>
      </c>
      <c r="AB295" s="1797"/>
      <c r="AC295" s="1797"/>
      <c r="AD295" s="1797"/>
      <c r="AE295" s="1797"/>
      <c r="AF295" s="1797"/>
      <c r="AG295" s="1797"/>
      <c r="AH295" s="1797"/>
      <c r="AI295" s="1797"/>
      <c r="AJ295" s="1797"/>
      <c r="AK295" s="1797"/>
      <c r="AL295" s="25"/>
      <c r="AM295" s="137"/>
      <c r="AN295" s="439"/>
    </row>
    <row r="296" spans="1:41" s="137" customFormat="1" ht="12.75" customHeight="1">
      <c r="A296" s="153"/>
      <c r="B296" s="72" t="s">
        <v>112</v>
      </c>
      <c r="C296" s="72"/>
      <c r="D296" s="72"/>
      <c r="E296" s="72"/>
      <c r="F296" s="72"/>
      <c r="G296" s="72"/>
      <c r="H296" s="2328" t="s">
        <v>2452</v>
      </c>
      <c r="I296" s="2329"/>
      <c r="J296" s="2329"/>
      <c r="K296" s="2329"/>
      <c r="L296" s="2329"/>
      <c r="M296" s="2329"/>
      <c r="N296" s="2329"/>
      <c r="O296" s="2329"/>
      <c r="P296" s="2329"/>
      <c r="Q296" s="2329"/>
      <c r="R296" s="2329"/>
      <c r="S296" s="72"/>
      <c r="T296" s="72" t="s">
        <v>112</v>
      </c>
      <c r="U296" s="72"/>
      <c r="V296" s="72"/>
      <c r="W296" s="72"/>
      <c r="X296" s="72"/>
      <c r="Y296" s="72"/>
      <c r="Z296" s="18"/>
      <c r="AA296" s="2328" t="s">
        <v>2459</v>
      </c>
      <c r="AB296" s="2329"/>
      <c r="AC296" s="2329"/>
      <c r="AD296" s="2329"/>
      <c r="AE296" s="2329"/>
      <c r="AF296" s="2329"/>
      <c r="AG296" s="2329"/>
      <c r="AH296" s="2329"/>
      <c r="AI296" s="2329"/>
      <c r="AJ296" s="2329"/>
      <c r="AK296" s="2329"/>
      <c r="AL296" s="25"/>
      <c r="AM296" s="423"/>
      <c r="AN296" s="1140"/>
    </row>
    <row r="297" spans="1:41" s="46" customFormat="1" ht="12.75" customHeight="1">
      <c r="A297" s="28"/>
      <c r="B297" s="420"/>
      <c r="C297" s="420"/>
      <c r="D297" s="420"/>
      <c r="E297" s="420"/>
      <c r="F297" s="420"/>
      <c r="G297" s="420"/>
      <c r="H297" s="421"/>
      <c r="I297" s="421"/>
      <c r="J297" s="421"/>
      <c r="K297" s="421"/>
      <c r="L297" s="421"/>
      <c r="M297" s="421"/>
      <c r="N297" s="421"/>
      <c r="O297" s="421"/>
      <c r="P297" s="422"/>
      <c r="Q297" s="422"/>
      <c r="R297" s="422"/>
      <c r="S297" s="72"/>
      <c r="T297" s="420"/>
      <c r="U297" s="420"/>
      <c r="V297" s="420"/>
      <c r="W297" s="420"/>
      <c r="X297" s="420"/>
      <c r="Y297" s="420"/>
      <c r="Z297" s="424"/>
      <c r="AA297" s="424"/>
      <c r="AB297" s="424"/>
      <c r="AC297" s="424"/>
      <c r="AD297" s="424"/>
      <c r="AE297" s="424"/>
      <c r="AF297" s="424"/>
      <c r="AG297" s="424"/>
      <c r="AH297" s="18"/>
      <c r="AI297" s="18"/>
      <c r="AJ297" s="18"/>
      <c r="AK297" s="327"/>
      <c r="AL297" s="25"/>
      <c r="AM297" s="423"/>
      <c r="AN297" s="439"/>
    </row>
    <row r="298" spans="1:41" s="46" customFormat="1" ht="12.75" customHeight="1">
      <c r="A298" s="153"/>
      <c r="B298" s="72" t="s">
        <v>100</v>
      </c>
      <c r="C298" s="72"/>
      <c r="D298" s="72"/>
      <c r="E298" s="72"/>
      <c r="F298" s="72"/>
      <c r="G298" s="16"/>
      <c r="H298" s="1508" t="s">
        <v>2460</v>
      </c>
      <c r="I298" s="1508"/>
      <c r="J298" s="1508"/>
      <c r="K298" s="1508"/>
      <c r="L298" s="1508"/>
      <c r="M298" s="1508"/>
      <c r="N298" s="1508"/>
      <c r="O298" s="1508"/>
      <c r="P298" s="1508"/>
      <c r="Q298" s="1508"/>
      <c r="R298" s="1508"/>
      <c r="S298" s="16"/>
      <c r="T298" s="72" t="s">
        <v>100</v>
      </c>
      <c r="U298" s="16"/>
      <c r="V298" s="72"/>
      <c r="W298" s="72"/>
      <c r="X298" s="72"/>
      <c r="Y298" s="72"/>
      <c r="Z298" s="16"/>
      <c r="AA298" s="1508" t="s">
        <v>2465</v>
      </c>
      <c r="AB298" s="1508"/>
      <c r="AC298" s="1508"/>
      <c r="AD298" s="1508"/>
      <c r="AE298" s="1508"/>
      <c r="AF298" s="1508"/>
      <c r="AG298" s="1508"/>
      <c r="AH298" s="1508"/>
      <c r="AI298" s="1508"/>
      <c r="AJ298" s="1508"/>
      <c r="AK298" s="1508"/>
      <c r="AL298" s="25"/>
      <c r="AM298" s="137"/>
      <c r="AN298" s="439"/>
    </row>
    <row r="299" spans="1:41" s="205" customFormat="1" ht="12.75" customHeight="1">
      <c r="A299" s="153"/>
      <c r="B299" s="72" t="s">
        <v>765</v>
      </c>
      <c r="C299" s="72"/>
      <c r="D299" s="72"/>
      <c r="E299" s="72"/>
      <c r="F299" s="72"/>
      <c r="G299" s="16"/>
      <c r="H299" s="1509" t="s">
        <v>2461</v>
      </c>
      <c r="I299" s="1509"/>
      <c r="J299" s="1509"/>
      <c r="K299" s="1509"/>
      <c r="L299" s="1509"/>
      <c r="M299" s="1509"/>
      <c r="N299" s="1509"/>
      <c r="O299" s="1509"/>
      <c r="P299" s="1509"/>
      <c r="Q299" s="1509"/>
      <c r="R299" s="1509"/>
      <c r="S299" s="16"/>
      <c r="T299" s="72" t="s">
        <v>765</v>
      </c>
      <c r="U299" s="16"/>
      <c r="V299" s="72"/>
      <c r="W299" s="72"/>
      <c r="X299" s="72"/>
      <c r="Y299" s="72"/>
      <c r="Z299" s="16"/>
      <c r="AA299" s="1509" t="s">
        <v>2466</v>
      </c>
      <c r="AB299" s="1509"/>
      <c r="AC299" s="1509"/>
      <c r="AD299" s="1509"/>
      <c r="AE299" s="1509"/>
      <c r="AF299" s="1509"/>
      <c r="AG299" s="1509"/>
      <c r="AH299" s="1509"/>
      <c r="AI299" s="1509"/>
      <c r="AJ299" s="1509"/>
      <c r="AK299" s="1509"/>
      <c r="AL299" s="25"/>
      <c r="AM299" s="137"/>
      <c r="AN299" s="439"/>
      <c r="AO299" s="46"/>
    </row>
    <row r="300" spans="1:41" s="205" customFormat="1" ht="12.75" customHeight="1">
      <c r="A300" s="153"/>
      <c r="B300" s="72" t="s">
        <v>110</v>
      </c>
      <c r="C300" s="72"/>
      <c r="D300" s="72"/>
      <c r="E300" s="72"/>
      <c r="F300" s="72"/>
      <c r="G300" s="16"/>
      <c r="H300" s="1509" t="s">
        <v>2448</v>
      </c>
      <c r="I300" s="1509"/>
      <c r="J300" s="1509"/>
      <c r="K300" s="1509"/>
      <c r="L300" s="1509"/>
      <c r="M300" s="1509"/>
      <c r="N300" s="1509"/>
      <c r="O300" s="1509"/>
      <c r="P300" s="1509"/>
      <c r="Q300" s="1509"/>
      <c r="R300" s="1509"/>
      <c r="S300" s="16"/>
      <c r="T300" s="72" t="s">
        <v>110</v>
      </c>
      <c r="U300" s="16"/>
      <c r="V300" s="72"/>
      <c r="W300" s="72"/>
      <c r="X300" s="72"/>
      <c r="Y300" s="72"/>
      <c r="Z300" s="16"/>
      <c r="AA300" s="1509" t="s">
        <v>2467</v>
      </c>
      <c r="AB300" s="1509"/>
      <c r="AC300" s="1509"/>
      <c r="AD300" s="1509"/>
      <c r="AE300" s="1509"/>
      <c r="AF300" s="1509"/>
      <c r="AG300" s="1509"/>
      <c r="AH300" s="1509"/>
      <c r="AI300" s="1509"/>
      <c r="AJ300" s="1509"/>
      <c r="AK300" s="1509"/>
      <c r="AL300" s="25"/>
      <c r="AM300" s="137"/>
      <c r="AN300" s="439"/>
      <c r="AO300" s="46"/>
    </row>
    <row r="301" spans="1:41" s="46" customFormat="1" ht="12.75" customHeight="1">
      <c r="A301" s="153"/>
      <c r="B301" s="72" t="s">
        <v>418</v>
      </c>
      <c r="C301" s="72"/>
      <c r="D301" s="72"/>
      <c r="E301" s="72"/>
      <c r="F301" s="72"/>
      <c r="G301" s="16"/>
      <c r="H301" s="1509" t="s">
        <v>2462</v>
      </c>
      <c r="I301" s="1509"/>
      <c r="J301" s="1509"/>
      <c r="K301" s="1509"/>
      <c r="L301" s="1509"/>
      <c r="M301" s="1509"/>
      <c r="N301" s="1509"/>
      <c r="O301" s="1509"/>
      <c r="P301" s="1509"/>
      <c r="Q301" s="1509"/>
      <c r="R301" s="1509"/>
      <c r="S301" s="16"/>
      <c r="T301" s="72" t="s">
        <v>418</v>
      </c>
      <c r="U301" s="16"/>
      <c r="V301" s="72"/>
      <c r="W301" s="72"/>
      <c r="X301" s="72"/>
      <c r="Y301" s="72"/>
      <c r="Z301" s="16"/>
      <c r="AA301" s="1509" t="s">
        <v>2468</v>
      </c>
      <c r="AB301" s="1509"/>
      <c r="AC301" s="1509"/>
      <c r="AD301" s="1509"/>
      <c r="AE301" s="1509"/>
      <c r="AF301" s="1509"/>
      <c r="AG301" s="1509"/>
      <c r="AH301" s="1509"/>
      <c r="AI301" s="1509"/>
      <c r="AJ301" s="1509"/>
      <c r="AK301" s="1509"/>
      <c r="AL301" s="25"/>
      <c r="AM301" s="137"/>
      <c r="AN301" s="439"/>
    </row>
    <row r="302" spans="1:41" s="46" customFormat="1" ht="12.75" customHeight="1">
      <c r="A302" s="153"/>
      <c r="B302" s="72" t="s">
        <v>419</v>
      </c>
      <c r="C302" s="72"/>
      <c r="D302" s="72"/>
      <c r="E302" s="72"/>
      <c r="F302" s="72"/>
      <c r="G302" s="72"/>
      <c r="H302" s="1898" t="s">
        <v>2463</v>
      </c>
      <c r="I302" s="2072"/>
      <c r="J302" s="2072"/>
      <c r="K302" s="2072"/>
      <c r="L302" s="2072"/>
      <c r="M302" s="2072"/>
      <c r="N302" s="8" t="s">
        <v>900</v>
      </c>
      <c r="O302" s="8"/>
      <c r="P302" s="2070"/>
      <c r="Q302" s="2070"/>
      <c r="R302" s="2070"/>
      <c r="S302" s="72"/>
      <c r="T302" s="72" t="s">
        <v>419</v>
      </c>
      <c r="U302" s="16"/>
      <c r="V302" s="72"/>
      <c r="W302" s="72"/>
      <c r="X302" s="72"/>
      <c r="Y302" s="72"/>
      <c r="Z302" s="16"/>
      <c r="AA302" s="1898" t="s">
        <v>2469</v>
      </c>
      <c r="AB302" s="2072"/>
      <c r="AC302" s="2072"/>
      <c r="AD302" s="2072"/>
      <c r="AE302" s="2072"/>
      <c r="AF302" s="2072"/>
      <c r="AG302" s="8" t="s">
        <v>900</v>
      </c>
      <c r="AH302" s="8"/>
      <c r="AI302" s="2070"/>
      <c r="AJ302" s="2070"/>
      <c r="AK302" s="2070"/>
      <c r="AL302" s="25"/>
      <c r="AM302" s="137"/>
      <c r="AN302" s="439"/>
    </row>
    <row r="303" spans="1:41" s="46" customFormat="1" ht="12.75" customHeight="1">
      <c r="A303" s="153"/>
      <c r="B303" s="72" t="s">
        <v>99</v>
      </c>
      <c r="C303" s="72"/>
      <c r="D303" s="72"/>
      <c r="E303" s="72"/>
      <c r="F303" s="72"/>
      <c r="G303" s="72"/>
      <c r="H303" s="1796" t="s">
        <v>111</v>
      </c>
      <c r="I303" s="1796"/>
      <c r="J303" s="1796"/>
      <c r="K303" s="1796"/>
      <c r="L303" s="1796"/>
      <c r="M303" s="1796"/>
      <c r="N303" s="1796"/>
      <c r="O303" s="1796"/>
      <c r="P303" s="1796"/>
      <c r="Q303" s="1796"/>
      <c r="R303" s="1796"/>
      <c r="S303" s="72"/>
      <c r="T303" s="72" t="s">
        <v>99</v>
      </c>
      <c r="U303" s="16"/>
      <c r="V303" s="72"/>
      <c r="W303" s="72"/>
      <c r="X303" s="72"/>
      <c r="Y303" s="72"/>
      <c r="Z303" s="16"/>
      <c r="AA303" s="1796" t="s">
        <v>388</v>
      </c>
      <c r="AB303" s="1796"/>
      <c r="AC303" s="1796"/>
      <c r="AD303" s="1796"/>
      <c r="AE303" s="1796"/>
      <c r="AF303" s="1796"/>
      <c r="AG303" s="1796"/>
      <c r="AH303" s="1796"/>
      <c r="AI303" s="1796"/>
      <c r="AJ303" s="1796"/>
      <c r="AK303" s="1796"/>
      <c r="AL303" s="25"/>
      <c r="AM303" s="137"/>
      <c r="AN303" s="439"/>
    </row>
    <row r="304" spans="1:41" s="46" customFormat="1" ht="12.75" customHeight="1">
      <c r="A304" s="153"/>
      <c r="B304" s="72" t="s">
        <v>101</v>
      </c>
      <c r="C304" s="72"/>
      <c r="D304" s="72"/>
      <c r="E304" s="72"/>
      <c r="F304" s="72"/>
      <c r="G304" s="72"/>
      <c r="H304" s="1797" t="s">
        <v>2464</v>
      </c>
      <c r="I304" s="1796"/>
      <c r="J304" s="1796"/>
      <c r="K304" s="1796"/>
      <c r="L304" s="1796"/>
      <c r="M304" s="1796"/>
      <c r="N304" s="1796"/>
      <c r="O304" s="1796"/>
      <c r="P304" s="1796"/>
      <c r="Q304" s="1796"/>
      <c r="R304" s="1796"/>
      <c r="S304" s="72"/>
      <c r="T304" s="72" t="s">
        <v>101</v>
      </c>
      <c r="U304" s="16"/>
      <c r="V304" s="72"/>
      <c r="W304" s="72"/>
      <c r="X304" s="72"/>
      <c r="Y304" s="72"/>
      <c r="Z304" s="16"/>
      <c r="AA304" s="1797" t="s">
        <v>2470</v>
      </c>
      <c r="AB304" s="1796"/>
      <c r="AC304" s="1796"/>
      <c r="AD304" s="1796"/>
      <c r="AE304" s="1796"/>
      <c r="AF304" s="1796"/>
      <c r="AG304" s="1796"/>
      <c r="AH304" s="1796"/>
      <c r="AI304" s="1796"/>
      <c r="AJ304" s="1796"/>
      <c r="AK304" s="1796"/>
      <c r="AL304" s="25"/>
      <c r="AM304" s="137"/>
      <c r="AN304" s="439"/>
    </row>
    <row r="305" spans="1:40" s="46" customFormat="1" ht="12.75" customHeight="1">
      <c r="A305" s="153"/>
      <c r="B305" s="72" t="s">
        <v>112</v>
      </c>
      <c r="C305" s="72"/>
      <c r="D305" s="72"/>
      <c r="E305" s="72"/>
      <c r="F305" s="72"/>
      <c r="G305" s="72"/>
      <c r="H305" s="2328" t="s">
        <v>2452</v>
      </c>
      <c r="I305" s="2329"/>
      <c r="J305" s="2329"/>
      <c r="K305" s="2329"/>
      <c r="L305" s="2329"/>
      <c r="M305" s="2329"/>
      <c r="N305" s="2329"/>
      <c r="O305" s="2329"/>
      <c r="P305" s="2329"/>
      <c r="Q305" s="2329"/>
      <c r="R305" s="2329"/>
      <c r="S305" s="72"/>
      <c r="T305" s="72" t="s">
        <v>112</v>
      </c>
      <c r="U305" s="72"/>
      <c r="V305" s="72"/>
      <c r="W305" s="72"/>
      <c r="X305" s="72"/>
      <c r="Y305" s="72"/>
      <c r="Z305" s="18"/>
      <c r="AA305" s="2328" t="s">
        <v>2452</v>
      </c>
      <c r="AB305" s="2329"/>
      <c r="AC305" s="2329"/>
      <c r="AD305" s="2329"/>
      <c r="AE305" s="2329"/>
      <c r="AF305" s="2329"/>
      <c r="AG305" s="2329"/>
      <c r="AH305" s="2329"/>
      <c r="AI305" s="2329"/>
      <c r="AJ305" s="2329"/>
      <c r="AK305" s="2329"/>
      <c r="AL305" s="25"/>
      <c r="AM305" s="423"/>
      <c r="AN305" s="439"/>
    </row>
    <row r="306" spans="1:40" s="46" customFormat="1" ht="12.75" customHeight="1">
      <c r="A306" s="28"/>
      <c r="B306" s="420"/>
      <c r="C306" s="420"/>
      <c r="D306" s="420"/>
      <c r="E306" s="420"/>
      <c r="F306" s="420"/>
      <c r="G306" s="420"/>
      <c r="H306" s="421"/>
      <c r="I306" s="421"/>
      <c r="J306" s="421"/>
      <c r="K306" s="421"/>
      <c r="L306" s="421"/>
      <c r="M306" s="421"/>
      <c r="N306" s="421"/>
      <c r="O306" s="421"/>
      <c r="P306" s="422"/>
      <c r="Q306" s="422"/>
      <c r="R306" s="422"/>
      <c r="S306" s="72"/>
      <c r="T306" s="420"/>
      <c r="U306" s="420"/>
      <c r="V306" s="420"/>
      <c r="W306" s="420"/>
      <c r="X306" s="420"/>
      <c r="Y306" s="420"/>
      <c r="Z306" s="424"/>
      <c r="AA306" s="424"/>
      <c r="AB306" s="424"/>
      <c r="AC306" s="424"/>
      <c r="AD306" s="424"/>
      <c r="AE306" s="424"/>
      <c r="AF306" s="424"/>
      <c r="AG306" s="424"/>
      <c r="AH306" s="18"/>
      <c r="AI306" s="18"/>
      <c r="AJ306" s="18"/>
      <c r="AK306" s="327"/>
      <c r="AL306" s="25"/>
      <c r="AM306" s="423"/>
      <c r="AN306" s="439"/>
    </row>
    <row r="307" spans="1:40" s="46" customFormat="1" ht="12.75" customHeight="1">
      <c r="A307" s="153"/>
      <c r="B307" s="72" t="s">
        <v>100</v>
      </c>
      <c r="C307" s="72"/>
      <c r="D307" s="72"/>
      <c r="E307" s="72"/>
      <c r="F307" s="72"/>
      <c r="G307" s="16"/>
      <c r="H307" s="1508" t="s">
        <v>2471</v>
      </c>
      <c r="I307" s="1508"/>
      <c r="J307" s="1508"/>
      <c r="K307" s="1508"/>
      <c r="L307" s="1508"/>
      <c r="M307" s="1508"/>
      <c r="N307" s="1508"/>
      <c r="O307" s="1508"/>
      <c r="P307" s="1508"/>
      <c r="Q307" s="1508"/>
      <c r="R307" s="1508"/>
      <c r="S307" s="16"/>
      <c r="T307" s="72" t="s">
        <v>100</v>
      </c>
      <c r="U307" s="16"/>
      <c r="V307" s="72"/>
      <c r="W307" s="72"/>
      <c r="X307" s="72"/>
      <c r="Y307" s="72"/>
      <c r="Z307" s="16"/>
      <c r="AA307" s="1788"/>
      <c r="AB307" s="1788"/>
      <c r="AC307" s="1788"/>
      <c r="AD307" s="1788"/>
      <c r="AE307" s="1788"/>
      <c r="AF307" s="1788"/>
      <c r="AG307" s="1788"/>
      <c r="AH307" s="1788"/>
      <c r="AI307" s="1788"/>
      <c r="AJ307" s="1788"/>
      <c r="AK307" s="1788"/>
      <c r="AL307" s="25"/>
      <c r="AM307" s="137"/>
      <c r="AN307" s="439"/>
    </row>
    <row r="308" spans="1:40" s="46" customFormat="1" ht="12.75" customHeight="1">
      <c r="A308" s="153"/>
      <c r="B308" s="72" t="s">
        <v>765</v>
      </c>
      <c r="C308" s="72"/>
      <c r="D308" s="72"/>
      <c r="E308" s="72"/>
      <c r="F308" s="72"/>
      <c r="G308" s="16"/>
      <c r="H308" s="1509" t="s">
        <v>2472</v>
      </c>
      <c r="I308" s="1509"/>
      <c r="J308" s="1509"/>
      <c r="K308" s="1509"/>
      <c r="L308" s="1509"/>
      <c r="M308" s="1509"/>
      <c r="N308" s="1509"/>
      <c r="O308" s="1509"/>
      <c r="P308" s="1509"/>
      <c r="Q308" s="1509"/>
      <c r="R308" s="1509"/>
      <c r="S308" s="16"/>
      <c r="T308" s="72" t="s">
        <v>765</v>
      </c>
      <c r="U308" s="16"/>
      <c r="V308" s="72"/>
      <c r="W308" s="72"/>
      <c r="X308" s="72"/>
      <c r="Y308" s="72"/>
      <c r="Z308" s="16"/>
      <c r="AA308" s="1796"/>
      <c r="AB308" s="1796"/>
      <c r="AC308" s="1796"/>
      <c r="AD308" s="1796"/>
      <c r="AE308" s="1796"/>
      <c r="AF308" s="1796"/>
      <c r="AG308" s="1796"/>
      <c r="AH308" s="1796"/>
      <c r="AI308" s="1796"/>
      <c r="AJ308" s="1796"/>
      <c r="AK308" s="1796"/>
      <c r="AL308" s="25"/>
      <c r="AM308" s="137"/>
      <c r="AN308" s="439"/>
    </row>
    <row r="309" spans="1:40" s="46" customFormat="1" ht="12.75" customHeight="1">
      <c r="A309" s="153"/>
      <c r="B309" s="72" t="s">
        <v>110</v>
      </c>
      <c r="C309" s="72"/>
      <c r="D309" s="72"/>
      <c r="E309" s="72"/>
      <c r="F309" s="72"/>
      <c r="G309" s="16"/>
      <c r="H309" s="1509" t="s">
        <v>2467</v>
      </c>
      <c r="I309" s="1509"/>
      <c r="J309" s="1509"/>
      <c r="K309" s="1509"/>
      <c r="L309" s="1509"/>
      <c r="M309" s="1509"/>
      <c r="N309" s="1509"/>
      <c r="O309" s="1509"/>
      <c r="P309" s="1509"/>
      <c r="Q309" s="1509"/>
      <c r="R309" s="1509"/>
      <c r="S309" s="16"/>
      <c r="T309" s="72" t="s">
        <v>110</v>
      </c>
      <c r="U309" s="16"/>
      <c r="V309" s="72"/>
      <c r="W309" s="72"/>
      <c r="X309" s="72"/>
      <c r="Y309" s="72"/>
      <c r="Z309" s="16"/>
      <c r="AA309" s="1796"/>
      <c r="AB309" s="1796"/>
      <c r="AC309" s="1796"/>
      <c r="AD309" s="1796"/>
      <c r="AE309" s="1796"/>
      <c r="AF309" s="1796"/>
      <c r="AG309" s="1796"/>
      <c r="AH309" s="1796"/>
      <c r="AI309" s="1796"/>
      <c r="AJ309" s="1796"/>
      <c r="AK309" s="1796"/>
      <c r="AL309" s="25"/>
      <c r="AM309" s="137"/>
      <c r="AN309" s="439"/>
    </row>
    <row r="310" spans="1:40" s="46" customFormat="1" ht="12.75" customHeight="1">
      <c r="A310" s="153"/>
      <c r="B310" s="72" t="s">
        <v>418</v>
      </c>
      <c r="C310" s="72"/>
      <c r="D310" s="72"/>
      <c r="E310" s="72"/>
      <c r="F310" s="72"/>
      <c r="G310" s="16"/>
      <c r="H310" s="1509" t="s">
        <v>2473</v>
      </c>
      <c r="I310" s="1509"/>
      <c r="J310" s="1509"/>
      <c r="K310" s="1509"/>
      <c r="L310" s="1509"/>
      <c r="M310" s="1509"/>
      <c r="N310" s="1509"/>
      <c r="O310" s="1509"/>
      <c r="P310" s="1509"/>
      <c r="Q310" s="1509"/>
      <c r="R310" s="1509"/>
      <c r="S310" s="16"/>
      <c r="T310" s="72" t="s">
        <v>418</v>
      </c>
      <c r="U310" s="16"/>
      <c r="V310" s="72"/>
      <c r="W310" s="72"/>
      <c r="X310" s="72"/>
      <c r="Y310" s="72"/>
      <c r="Z310" s="16"/>
      <c r="AA310" s="1796"/>
      <c r="AB310" s="1796"/>
      <c r="AC310" s="1796"/>
      <c r="AD310" s="1796"/>
      <c r="AE310" s="1796"/>
      <c r="AF310" s="1796"/>
      <c r="AG310" s="1796"/>
      <c r="AH310" s="1796"/>
      <c r="AI310" s="1796"/>
      <c r="AJ310" s="1796"/>
      <c r="AK310" s="1796"/>
      <c r="AL310" s="25"/>
      <c r="AM310" s="137"/>
      <c r="AN310" s="439"/>
    </row>
    <row r="311" spans="1:40" s="46" customFormat="1" ht="12.75" customHeight="1">
      <c r="A311" s="153"/>
      <c r="B311" s="72" t="s">
        <v>419</v>
      </c>
      <c r="C311" s="72"/>
      <c r="D311" s="72"/>
      <c r="E311" s="72"/>
      <c r="F311" s="72"/>
      <c r="G311" s="72"/>
      <c r="H311" s="1898" t="s">
        <v>2474</v>
      </c>
      <c r="I311" s="2072"/>
      <c r="J311" s="2072"/>
      <c r="K311" s="2072"/>
      <c r="L311" s="2072"/>
      <c r="M311" s="2072"/>
      <c r="N311" s="8" t="s">
        <v>900</v>
      </c>
      <c r="O311" s="8"/>
      <c r="P311" s="2070"/>
      <c r="Q311" s="2070"/>
      <c r="R311" s="2070"/>
      <c r="S311" s="72"/>
      <c r="T311" s="72" t="s">
        <v>419</v>
      </c>
      <c r="U311" s="16"/>
      <c r="V311" s="72"/>
      <c r="W311" s="72"/>
      <c r="X311" s="72"/>
      <c r="Y311" s="72"/>
      <c r="Z311" s="16"/>
      <c r="AA311" s="2072"/>
      <c r="AB311" s="2072"/>
      <c r="AC311" s="2072"/>
      <c r="AD311" s="2072"/>
      <c r="AE311" s="2072"/>
      <c r="AF311" s="2072"/>
      <c r="AG311" s="8" t="s">
        <v>900</v>
      </c>
      <c r="AH311" s="8"/>
      <c r="AI311" s="2070"/>
      <c r="AJ311" s="2070"/>
      <c r="AK311" s="2070"/>
      <c r="AL311" s="25"/>
      <c r="AM311" s="137"/>
      <c r="AN311" s="439"/>
    </row>
    <row r="312" spans="1:40" s="46" customFormat="1" ht="12.75" customHeight="1">
      <c r="A312" s="153"/>
      <c r="B312" s="72" t="s">
        <v>99</v>
      </c>
      <c r="C312" s="72"/>
      <c r="D312" s="72"/>
      <c r="E312" s="72"/>
      <c r="F312" s="72"/>
      <c r="G312" s="72"/>
      <c r="H312" s="1796" t="s">
        <v>107</v>
      </c>
      <c r="I312" s="1796"/>
      <c r="J312" s="1796"/>
      <c r="K312" s="1796"/>
      <c r="L312" s="1796"/>
      <c r="M312" s="1796"/>
      <c r="N312" s="1796"/>
      <c r="O312" s="1796"/>
      <c r="P312" s="1796"/>
      <c r="Q312" s="1796"/>
      <c r="R312" s="1796"/>
      <c r="S312" s="72"/>
      <c r="T312" s="72" t="s">
        <v>99</v>
      </c>
      <c r="U312" s="16"/>
      <c r="V312" s="72"/>
      <c r="W312" s="72"/>
      <c r="X312" s="72"/>
      <c r="Y312" s="72"/>
      <c r="Z312" s="16"/>
      <c r="AA312" s="1796"/>
      <c r="AB312" s="1796"/>
      <c r="AC312" s="1796"/>
      <c r="AD312" s="1796"/>
      <c r="AE312" s="1796"/>
      <c r="AF312" s="1796"/>
      <c r="AG312" s="1796"/>
      <c r="AH312" s="1796"/>
      <c r="AI312" s="1796"/>
      <c r="AJ312" s="1796"/>
      <c r="AK312" s="1796"/>
      <c r="AL312" s="25"/>
      <c r="AM312" s="137"/>
      <c r="AN312" s="439"/>
    </row>
    <row r="313" spans="1:40" s="46" customFormat="1" ht="12.75" customHeight="1">
      <c r="A313" s="153"/>
      <c r="B313" s="72" t="s">
        <v>101</v>
      </c>
      <c r="C313" s="72"/>
      <c r="D313" s="72"/>
      <c r="E313" s="72"/>
      <c r="F313" s="72"/>
      <c r="G313" s="72"/>
      <c r="H313" s="1797" t="s">
        <v>2475</v>
      </c>
      <c r="I313" s="1796"/>
      <c r="J313" s="1796"/>
      <c r="K313" s="1796"/>
      <c r="L313" s="1796"/>
      <c r="M313" s="1796"/>
      <c r="N313" s="1796"/>
      <c r="O313" s="1796"/>
      <c r="P313" s="1796"/>
      <c r="Q313" s="1796"/>
      <c r="R313" s="1796"/>
      <c r="S313" s="72"/>
      <c r="T313" s="72" t="s">
        <v>101</v>
      </c>
      <c r="U313" s="16"/>
      <c r="V313" s="72"/>
      <c r="W313" s="72"/>
      <c r="X313" s="72"/>
      <c r="Y313" s="72"/>
      <c r="Z313" s="16"/>
      <c r="AA313" s="1796"/>
      <c r="AB313" s="1796"/>
      <c r="AC313" s="1796"/>
      <c r="AD313" s="1796"/>
      <c r="AE313" s="1796"/>
      <c r="AF313" s="1796"/>
      <c r="AG313" s="1796"/>
      <c r="AH313" s="1796"/>
      <c r="AI313" s="1796"/>
      <c r="AJ313" s="1796"/>
      <c r="AK313" s="1796"/>
      <c r="AL313" s="25"/>
      <c r="AM313" s="137"/>
      <c r="AN313" s="439"/>
    </row>
    <row r="314" spans="1:40" s="46" customFormat="1" ht="12.75" customHeight="1">
      <c r="A314" s="153"/>
      <c r="B314" s="72" t="s">
        <v>112</v>
      </c>
      <c r="C314" s="72"/>
      <c r="D314" s="72"/>
      <c r="E314" s="72"/>
      <c r="F314" s="72"/>
      <c r="G314" s="72"/>
      <c r="H314" s="2328" t="s">
        <v>2452</v>
      </c>
      <c r="I314" s="2329"/>
      <c r="J314" s="2329"/>
      <c r="K314" s="2329"/>
      <c r="L314" s="2329"/>
      <c r="M314" s="2329"/>
      <c r="N314" s="2329"/>
      <c r="O314" s="2329"/>
      <c r="P314" s="2329"/>
      <c r="Q314" s="2329"/>
      <c r="R314" s="2329"/>
      <c r="S314" s="72"/>
      <c r="T314" s="72" t="s">
        <v>112</v>
      </c>
      <c r="U314" s="72"/>
      <c r="V314" s="72"/>
      <c r="W314" s="72"/>
      <c r="X314" s="72"/>
      <c r="Y314" s="72"/>
      <c r="Z314" s="18"/>
      <c r="AA314" s="2329"/>
      <c r="AB314" s="2329"/>
      <c r="AC314" s="2329"/>
      <c r="AD314" s="2329"/>
      <c r="AE314" s="2329"/>
      <c r="AF314" s="2329"/>
      <c r="AG314" s="2329"/>
      <c r="AH314" s="2329"/>
      <c r="AI314" s="2329"/>
      <c r="AJ314" s="2329"/>
      <c r="AK314" s="2329"/>
      <c r="AL314" s="25"/>
      <c r="AM314" s="423"/>
      <c r="AN314" s="439"/>
    </row>
    <row r="315" spans="1:40" s="46" customFormat="1" ht="12.75" customHeight="1">
      <c r="A315" s="28"/>
      <c r="B315" s="420"/>
      <c r="C315" s="420"/>
      <c r="D315" s="420"/>
      <c r="E315" s="420"/>
      <c r="F315" s="420"/>
      <c r="G315" s="420"/>
      <c r="H315" s="421"/>
      <c r="I315" s="421"/>
      <c r="J315" s="421"/>
      <c r="K315" s="421"/>
      <c r="L315" s="421"/>
      <c r="M315" s="421"/>
      <c r="N315" s="421"/>
      <c r="O315" s="421"/>
      <c r="P315" s="422"/>
      <c r="Q315" s="422"/>
      <c r="R315" s="422"/>
      <c r="S315" s="72"/>
      <c r="T315" s="420"/>
      <c r="U315" s="420"/>
      <c r="V315" s="420"/>
      <c r="W315" s="420"/>
      <c r="X315" s="420"/>
      <c r="Y315" s="420"/>
      <c r="Z315" s="424"/>
      <c r="AA315" s="424"/>
      <c r="AB315" s="424"/>
      <c r="AC315" s="424"/>
      <c r="AD315" s="424"/>
      <c r="AE315" s="424"/>
      <c r="AF315" s="424"/>
      <c r="AG315" s="424"/>
      <c r="AH315" s="18"/>
      <c r="AI315" s="18"/>
      <c r="AJ315" s="18"/>
      <c r="AK315" s="327"/>
      <c r="AL315" s="25"/>
      <c r="AM315" s="423"/>
      <c r="AN315" s="439"/>
    </row>
    <row r="316" spans="1:40" s="46" customFormat="1" ht="12.75" customHeight="1">
      <c r="A316" s="153"/>
      <c r="B316" s="72" t="s">
        <v>100</v>
      </c>
      <c r="C316" s="72"/>
      <c r="D316" s="72"/>
      <c r="E316" s="72"/>
      <c r="F316" s="72"/>
      <c r="G316" s="16"/>
      <c r="H316" s="1788"/>
      <c r="I316" s="1788"/>
      <c r="J316" s="1788"/>
      <c r="K316" s="1788"/>
      <c r="L316" s="1788"/>
      <c r="M316" s="1788"/>
      <c r="N316" s="1788"/>
      <c r="O316" s="1788"/>
      <c r="P316" s="1788"/>
      <c r="Q316" s="1788"/>
      <c r="R316" s="1788"/>
      <c r="S316" s="16"/>
      <c r="T316" s="72" t="s">
        <v>100</v>
      </c>
      <c r="U316" s="16"/>
      <c r="V316" s="72"/>
      <c r="W316" s="72"/>
      <c r="X316" s="72"/>
      <c r="Y316" s="72"/>
      <c r="Z316" s="16"/>
      <c r="AA316" s="1788"/>
      <c r="AB316" s="1788"/>
      <c r="AC316" s="1788"/>
      <c r="AD316" s="1788"/>
      <c r="AE316" s="1788"/>
      <c r="AF316" s="1788"/>
      <c r="AG316" s="1788"/>
      <c r="AH316" s="1788"/>
      <c r="AI316" s="1788"/>
      <c r="AJ316" s="1788"/>
      <c r="AK316" s="1788"/>
      <c r="AL316" s="25"/>
      <c r="AM316" s="137"/>
      <c r="AN316" s="439"/>
    </row>
    <row r="317" spans="1:40" s="46" customFormat="1" ht="12.75" customHeight="1">
      <c r="A317" s="153"/>
      <c r="B317" s="72" t="s">
        <v>765</v>
      </c>
      <c r="C317" s="72"/>
      <c r="D317" s="72"/>
      <c r="E317" s="72"/>
      <c r="F317" s="72"/>
      <c r="G317" s="16"/>
      <c r="H317" s="1796"/>
      <c r="I317" s="1796"/>
      <c r="J317" s="1796"/>
      <c r="K317" s="1796"/>
      <c r="L317" s="1796"/>
      <c r="M317" s="1796"/>
      <c r="N317" s="1796"/>
      <c r="O317" s="1796"/>
      <c r="P317" s="1796"/>
      <c r="Q317" s="1796"/>
      <c r="R317" s="1796"/>
      <c r="S317" s="16"/>
      <c r="T317" s="72" t="s">
        <v>765</v>
      </c>
      <c r="U317" s="16"/>
      <c r="V317" s="72"/>
      <c r="W317" s="72"/>
      <c r="X317" s="72"/>
      <c r="Y317" s="72"/>
      <c r="Z317" s="16"/>
      <c r="AA317" s="1796"/>
      <c r="AB317" s="1796"/>
      <c r="AC317" s="1796"/>
      <c r="AD317" s="1796"/>
      <c r="AE317" s="1796"/>
      <c r="AF317" s="1796"/>
      <c r="AG317" s="1796"/>
      <c r="AH317" s="1796"/>
      <c r="AI317" s="1796"/>
      <c r="AJ317" s="1796"/>
      <c r="AK317" s="1796"/>
      <c r="AL317" s="25"/>
      <c r="AM317" s="137"/>
      <c r="AN317" s="439"/>
    </row>
    <row r="318" spans="1:40" s="46" customFormat="1" ht="12.75" customHeight="1">
      <c r="A318" s="153"/>
      <c r="B318" s="72" t="s">
        <v>110</v>
      </c>
      <c r="C318" s="72"/>
      <c r="D318" s="72"/>
      <c r="E318" s="72"/>
      <c r="F318" s="72"/>
      <c r="G318" s="16"/>
      <c r="H318" s="1796"/>
      <c r="I318" s="1796"/>
      <c r="J318" s="1796"/>
      <c r="K318" s="1796"/>
      <c r="L318" s="1796"/>
      <c r="M318" s="1796"/>
      <c r="N318" s="1796"/>
      <c r="O318" s="1796"/>
      <c r="P318" s="1796"/>
      <c r="Q318" s="1796"/>
      <c r="R318" s="1796"/>
      <c r="S318" s="16"/>
      <c r="T318" s="72" t="s">
        <v>110</v>
      </c>
      <c r="U318" s="16"/>
      <c r="V318" s="72"/>
      <c r="W318" s="72"/>
      <c r="X318" s="72"/>
      <c r="Y318" s="72"/>
      <c r="Z318" s="16"/>
      <c r="AA318" s="1796"/>
      <c r="AB318" s="1796"/>
      <c r="AC318" s="1796"/>
      <c r="AD318" s="1796"/>
      <c r="AE318" s="1796"/>
      <c r="AF318" s="1796"/>
      <c r="AG318" s="1796"/>
      <c r="AH318" s="1796"/>
      <c r="AI318" s="1796"/>
      <c r="AJ318" s="1796"/>
      <c r="AK318" s="1796"/>
      <c r="AL318" s="25"/>
      <c r="AM318" s="137"/>
      <c r="AN318" s="439"/>
    </row>
    <row r="319" spans="1:40" s="46" customFormat="1" ht="12.75" customHeight="1">
      <c r="A319" s="153"/>
      <c r="B319" s="72" t="s">
        <v>418</v>
      </c>
      <c r="C319" s="72"/>
      <c r="D319" s="72"/>
      <c r="E319" s="72"/>
      <c r="F319" s="72"/>
      <c r="G319" s="16"/>
      <c r="H319" s="1796"/>
      <c r="I319" s="1796"/>
      <c r="J319" s="1796"/>
      <c r="K319" s="1796"/>
      <c r="L319" s="1796"/>
      <c r="M319" s="1796"/>
      <c r="N319" s="1796"/>
      <c r="O319" s="1796"/>
      <c r="P319" s="1796"/>
      <c r="Q319" s="1796"/>
      <c r="R319" s="1796"/>
      <c r="S319" s="16"/>
      <c r="T319" s="72" t="s">
        <v>418</v>
      </c>
      <c r="U319" s="16"/>
      <c r="V319" s="72"/>
      <c r="W319" s="72"/>
      <c r="X319" s="72"/>
      <c r="Y319" s="72"/>
      <c r="Z319" s="16"/>
      <c r="AA319" s="1796"/>
      <c r="AB319" s="1796"/>
      <c r="AC319" s="1796"/>
      <c r="AD319" s="1796"/>
      <c r="AE319" s="1796"/>
      <c r="AF319" s="1796"/>
      <c r="AG319" s="1796"/>
      <c r="AH319" s="1796"/>
      <c r="AI319" s="1796"/>
      <c r="AJ319" s="1796"/>
      <c r="AK319" s="1796"/>
      <c r="AL319" s="25"/>
      <c r="AM319" s="137"/>
      <c r="AN319" s="439"/>
    </row>
    <row r="320" spans="1:40" s="46" customFormat="1" ht="12.75" customHeight="1">
      <c r="A320" s="153"/>
      <c r="B320" s="72" t="s">
        <v>419</v>
      </c>
      <c r="C320" s="72"/>
      <c r="D320" s="72"/>
      <c r="E320" s="72"/>
      <c r="F320" s="72"/>
      <c r="G320" s="72"/>
      <c r="H320" s="2072"/>
      <c r="I320" s="2072"/>
      <c r="J320" s="2072"/>
      <c r="K320" s="2072"/>
      <c r="L320" s="2072"/>
      <c r="M320" s="2072"/>
      <c r="N320" s="8" t="s">
        <v>900</v>
      </c>
      <c r="O320" s="8"/>
      <c r="P320" s="2070"/>
      <c r="Q320" s="2070"/>
      <c r="R320" s="2070"/>
      <c r="S320" s="72"/>
      <c r="T320" s="72" t="s">
        <v>419</v>
      </c>
      <c r="U320" s="16"/>
      <c r="V320" s="72"/>
      <c r="W320" s="72"/>
      <c r="X320" s="72"/>
      <c r="Y320" s="72"/>
      <c r="Z320" s="16"/>
      <c r="AA320" s="2072"/>
      <c r="AB320" s="2072"/>
      <c r="AC320" s="2072"/>
      <c r="AD320" s="2072"/>
      <c r="AE320" s="2072"/>
      <c r="AF320" s="2072"/>
      <c r="AG320" s="8" t="s">
        <v>900</v>
      </c>
      <c r="AH320" s="8"/>
      <c r="AI320" s="2070"/>
      <c r="AJ320" s="2070"/>
      <c r="AK320" s="2070"/>
      <c r="AL320" s="25"/>
      <c r="AM320" s="137"/>
      <c r="AN320" s="439"/>
    </row>
    <row r="321" spans="1:76" s="46" customFormat="1" ht="12.75" customHeight="1">
      <c r="A321" s="153"/>
      <c r="B321" s="72" t="s">
        <v>99</v>
      </c>
      <c r="C321" s="72"/>
      <c r="D321" s="72"/>
      <c r="E321" s="72"/>
      <c r="F321" s="72"/>
      <c r="G321" s="72"/>
      <c r="H321" s="1796"/>
      <c r="I321" s="1796"/>
      <c r="J321" s="1796"/>
      <c r="K321" s="1796"/>
      <c r="L321" s="1796"/>
      <c r="M321" s="1796"/>
      <c r="N321" s="1796"/>
      <c r="O321" s="1796"/>
      <c r="P321" s="1796"/>
      <c r="Q321" s="1796"/>
      <c r="R321" s="1796"/>
      <c r="S321" s="72"/>
      <c r="T321" s="72" t="s">
        <v>99</v>
      </c>
      <c r="U321" s="16"/>
      <c r="V321" s="72"/>
      <c r="W321" s="72"/>
      <c r="X321" s="72"/>
      <c r="Y321" s="72"/>
      <c r="Z321" s="16"/>
      <c r="AA321" s="1796"/>
      <c r="AB321" s="1796"/>
      <c r="AC321" s="1796"/>
      <c r="AD321" s="1796"/>
      <c r="AE321" s="1796"/>
      <c r="AF321" s="1796"/>
      <c r="AG321" s="1796"/>
      <c r="AH321" s="1796"/>
      <c r="AI321" s="1796"/>
      <c r="AJ321" s="1796"/>
      <c r="AK321" s="1796"/>
      <c r="AL321" s="25"/>
      <c r="AM321" s="137"/>
      <c r="AN321" s="439"/>
    </row>
    <row r="322" spans="1:76" s="46" customFormat="1" ht="12.75" customHeight="1">
      <c r="A322" s="153"/>
      <c r="B322" s="72" t="s">
        <v>101</v>
      </c>
      <c r="C322" s="72"/>
      <c r="D322" s="72"/>
      <c r="E322" s="72"/>
      <c r="F322" s="72"/>
      <c r="G322" s="72"/>
      <c r="H322" s="1796"/>
      <c r="I322" s="1796"/>
      <c r="J322" s="1796"/>
      <c r="K322" s="1796"/>
      <c r="L322" s="1796"/>
      <c r="M322" s="1796"/>
      <c r="N322" s="1796"/>
      <c r="O322" s="1796"/>
      <c r="P322" s="1796"/>
      <c r="Q322" s="1796"/>
      <c r="R322" s="1796"/>
      <c r="S322" s="72"/>
      <c r="T322" s="72" t="s">
        <v>101</v>
      </c>
      <c r="U322" s="16"/>
      <c r="V322" s="72"/>
      <c r="W322" s="72"/>
      <c r="X322" s="72"/>
      <c r="Y322" s="72"/>
      <c r="Z322" s="16"/>
      <c r="AA322" s="1796"/>
      <c r="AB322" s="1796"/>
      <c r="AC322" s="1796"/>
      <c r="AD322" s="1796"/>
      <c r="AE322" s="1796"/>
      <c r="AF322" s="1796"/>
      <c r="AG322" s="1796"/>
      <c r="AH322" s="1796"/>
      <c r="AI322" s="1796"/>
      <c r="AJ322" s="1796"/>
      <c r="AK322" s="1796"/>
      <c r="AL322" s="25"/>
      <c r="AM322" s="137"/>
      <c r="AN322" s="439"/>
    </row>
    <row r="323" spans="1:76" s="46" customFormat="1" ht="12.75" customHeight="1">
      <c r="A323" s="153"/>
      <c r="B323" s="72" t="s">
        <v>112</v>
      </c>
      <c r="C323" s="72"/>
      <c r="D323" s="72"/>
      <c r="E323" s="72"/>
      <c r="F323" s="72"/>
      <c r="G323" s="72"/>
      <c r="H323" s="2329"/>
      <c r="I323" s="2329"/>
      <c r="J323" s="2329"/>
      <c r="K323" s="2329"/>
      <c r="L323" s="2329"/>
      <c r="M323" s="2329"/>
      <c r="N323" s="2329"/>
      <c r="O323" s="2329"/>
      <c r="P323" s="2329"/>
      <c r="Q323" s="2329"/>
      <c r="R323" s="2329"/>
      <c r="S323" s="72"/>
      <c r="T323" s="72" t="s">
        <v>112</v>
      </c>
      <c r="U323" s="72"/>
      <c r="V323" s="72"/>
      <c r="W323" s="72"/>
      <c r="X323" s="72"/>
      <c r="Y323" s="72"/>
      <c r="Z323" s="18"/>
      <c r="AA323" s="2329"/>
      <c r="AB323" s="2329"/>
      <c r="AC323" s="2329"/>
      <c r="AD323" s="2329"/>
      <c r="AE323" s="2329"/>
      <c r="AF323" s="2329"/>
      <c r="AG323" s="2329"/>
      <c r="AH323" s="2329"/>
      <c r="AI323" s="2329"/>
      <c r="AJ323" s="2329"/>
      <c r="AK323" s="2329"/>
      <c r="AL323" s="25"/>
      <c r="AM323" s="423"/>
      <c r="AN323" s="439"/>
    </row>
    <row r="324" spans="1:76" s="46" customFormat="1" ht="12.75" customHeight="1">
      <c r="A324" s="28"/>
      <c r="B324" s="420"/>
      <c r="C324" s="420"/>
      <c r="D324" s="420"/>
      <c r="E324" s="420"/>
      <c r="F324" s="420"/>
      <c r="G324" s="420"/>
      <c r="H324" s="421"/>
      <c r="I324" s="421"/>
      <c r="J324" s="421"/>
      <c r="K324" s="421"/>
      <c r="L324" s="421"/>
      <c r="M324" s="421"/>
      <c r="N324" s="421"/>
      <c r="O324" s="421"/>
      <c r="P324" s="422"/>
      <c r="Q324" s="422"/>
      <c r="R324" s="422"/>
      <c r="S324" s="72"/>
      <c r="T324" s="420"/>
      <c r="U324" s="420"/>
      <c r="V324" s="420"/>
      <c r="W324" s="420"/>
      <c r="X324" s="420"/>
      <c r="Y324" s="420"/>
      <c r="Z324" s="424"/>
      <c r="AA324" s="424"/>
      <c r="AB324" s="424"/>
      <c r="AC324" s="424"/>
      <c r="AD324" s="424"/>
      <c r="AE324" s="424"/>
      <c r="AF324" s="424"/>
      <c r="AG324" s="424"/>
      <c r="AH324" s="18"/>
      <c r="AI324" s="18"/>
      <c r="AJ324" s="18"/>
      <c r="AK324" s="327"/>
      <c r="AL324" s="327"/>
      <c r="AM324" s="423"/>
      <c r="AN324" s="439"/>
    </row>
    <row r="325" spans="1:76" s="46" customFormat="1" ht="12.75" customHeight="1">
      <c r="A325" s="153"/>
      <c r="B325" s="72" t="s">
        <v>100</v>
      </c>
      <c r="C325" s="72"/>
      <c r="D325" s="72"/>
      <c r="E325" s="72"/>
      <c r="F325" s="72"/>
      <c r="G325" s="16"/>
      <c r="H325" s="1788"/>
      <c r="I325" s="1788"/>
      <c r="J325" s="1788"/>
      <c r="K325" s="1788"/>
      <c r="L325" s="1788"/>
      <c r="M325" s="1788"/>
      <c r="N325" s="1788"/>
      <c r="O325" s="1788"/>
      <c r="P325" s="1788"/>
      <c r="Q325" s="1788"/>
      <c r="R325" s="1788"/>
      <c r="S325" s="16"/>
      <c r="T325" s="72" t="s">
        <v>100</v>
      </c>
      <c r="U325" s="16"/>
      <c r="V325" s="72"/>
      <c r="W325" s="72"/>
      <c r="X325" s="72"/>
      <c r="Y325" s="72"/>
      <c r="Z325" s="16"/>
      <c r="AA325" s="1788"/>
      <c r="AB325" s="1788"/>
      <c r="AC325" s="1788"/>
      <c r="AD325" s="1788"/>
      <c r="AE325" s="1788"/>
      <c r="AF325" s="1788"/>
      <c r="AG325" s="1788"/>
      <c r="AH325" s="1788"/>
      <c r="AI325" s="1788"/>
      <c r="AJ325" s="1788"/>
      <c r="AK325" s="1788"/>
      <c r="AL325" s="327"/>
      <c r="AM325" s="137"/>
      <c r="AN325" s="439"/>
    </row>
    <row r="326" spans="1:76" s="46" customFormat="1" ht="12.75" customHeight="1">
      <c r="A326" s="153"/>
      <c r="B326" s="72" t="s">
        <v>765</v>
      </c>
      <c r="C326" s="72"/>
      <c r="D326" s="72"/>
      <c r="E326" s="72"/>
      <c r="F326" s="72"/>
      <c r="G326" s="16"/>
      <c r="H326" s="1796"/>
      <c r="I326" s="1796"/>
      <c r="J326" s="1796"/>
      <c r="K326" s="1796"/>
      <c r="L326" s="1796"/>
      <c r="M326" s="1796"/>
      <c r="N326" s="1796"/>
      <c r="O326" s="1796"/>
      <c r="P326" s="1796"/>
      <c r="Q326" s="1796"/>
      <c r="R326" s="1796"/>
      <c r="S326" s="16"/>
      <c r="T326" s="72" t="s">
        <v>765</v>
      </c>
      <c r="U326" s="16"/>
      <c r="V326" s="72"/>
      <c r="W326" s="72"/>
      <c r="X326" s="72"/>
      <c r="Y326" s="72"/>
      <c r="Z326" s="16"/>
      <c r="AA326" s="1796"/>
      <c r="AB326" s="1796"/>
      <c r="AC326" s="1796"/>
      <c r="AD326" s="1796"/>
      <c r="AE326" s="1796"/>
      <c r="AF326" s="1796"/>
      <c r="AG326" s="1796"/>
      <c r="AH326" s="1796"/>
      <c r="AI326" s="1796"/>
      <c r="AJ326" s="1796"/>
      <c r="AK326" s="1796"/>
      <c r="AL326" s="327"/>
      <c r="AM326" s="137"/>
      <c r="AN326" s="439"/>
    </row>
    <row r="327" spans="1:76" s="46" customFormat="1" ht="18" customHeight="1">
      <c r="A327" s="153"/>
      <c r="B327" s="72" t="s">
        <v>110</v>
      </c>
      <c r="C327" s="72"/>
      <c r="D327" s="72"/>
      <c r="E327" s="72"/>
      <c r="F327" s="72"/>
      <c r="G327" s="16"/>
      <c r="H327" s="1796"/>
      <c r="I327" s="1796"/>
      <c r="J327" s="1796"/>
      <c r="K327" s="1796"/>
      <c r="L327" s="1796"/>
      <c r="M327" s="1796"/>
      <c r="N327" s="1796"/>
      <c r="O327" s="1796"/>
      <c r="P327" s="1796"/>
      <c r="Q327" s="1796"/>
      <c r="R327" s="1796"/>
      <c r="S327" s="16"/>
      <c r="T327" s="72" t="s">
        <v>110</v>
      </c>
      <c r="U327" s="16"/>
      <c r="V327" s="72"/>
      <c r="W327" s="72"/>
      <c r="X327" s="72"/>
      <c r="Y327" s="72"/>
      <c r="Z327" s="16"/>
      <c r="AA327" s="1796"/>
      <c r="AB327" s="1796"/>
      <c r="AC327" s="1796"/>
      <c r="AD327" s="1796"/>
      <c r="AE327" s="1796"/>
      <c r="AF327" s="1796"/>
      <c r="AG327" s="1796"/>
      <c r="AH327" s="1796"/>
      <c r="AI327" s="1796"/>
      <c r="AJ327" s="1796"/>
      <c r="AK327" s="1796"/>
      <c r="AL327" s="327"/>
      <c r="AM327" s="137"/>
      <c r="AN327" s="439"/>
    </row>
    <row r="328" spans="1:76" s="46" customFormat="1" ht="12.75" customHeight="1">
      <c r="A328" s="153"/>
      <c r="B328" s="72" t="s">
        <v>418</v>
      </c>
      <c r="C328" s="72"/>
      <c r="D328" s="72"/>
      <c r="E328" s="72"/>
      <c r="F328" s="72"/>
      <c r="G328" s="16"/>
      <c r="H328" s="1796"/>
      <c r="I328" s="1796"/>
      <c r="J328" s="1796"/>
      <c r="K328" s="1796"/>
      <c r="L328" s="1796"/>
      <c r="M328" s="1796"/>
      <c r="N328" s="1796"/>
      <c r="O328" s="1796"/>
      <c r="P328" s="1796"/>
      <c r="Q328" s="1796"/>
      <c r="R328" s="1796"/>
      <c r="S328" s="16"/>
      <c r="T328" s="72" t="s">
        <v>418</v>
      </c>
      <c r="U328" s="16"/>
      <c r="V328" s="72"/>
      <c r="W328" s="72"/>
      <c r="X328" s="72"/>
      <c r="Y328" s="72"/>
      <c r="Z328" s="16"/>
      <c r="AA328" s="1796"/>
      <c r="AB328" s="1796"/>
      <c r="AC328" s="1796"/>
      <c r="AD328" s="1796"/>
      <c r="AE328" s="1796"/>
      <c r="AF328" s="1796"/>
      <c r="AG328" s="1796"/>
      <c r="AH328" s="1796"/>
      <c r="AI328" s="1796"/>
      <c r="AJ328" s="1796"/>
      <c r="AK328" s="1796"/>
      <c r="AL328" s="327"/>
      <c r="AM328" s="137"/>
      <c r="AN328" s="439"/>
    </row>
    <row r="329" spans="1:76" s="46" customFormat="1" ht="12.75" customHeight="1">
      <c r="A329" s="153"/>
      <c r="B329" s="72" t="s">
        <v>419</v>
      </c>
      <c r="C329" s="72"/>
      <c r="D329" s="72"/>
      <c r="E329" s="72"/>
      <c r="F329" s="72"/>
      <c r="G329" s="72"/>
      <c r="H329" s="2072"/>
      <c r="I329" s="2072"/>
      <c r="J329" s="2072"/>
      <c r="K329" s="2072"/>
      <c r="L329" s="2072"/>
      <c r="M329" s="2072"/>
      <c r="N329" s="8" t="s">
        <v>900</v>
      </c>
      <c r="O329" s="8"/>
      <c r="P329" s="2070"/>
      <c r="Q329" s="2070"/>
      <c r="R329" s="2070"/>
      <c r="S329" s="72"/>
      <c r="T329" s="72" t="s">
        <v>419</v>
      </c>
      <c r="U329" s="16"/>
      <c r="V329" s="72"/>
      <c r="W329" s="72"/>
      <c r="X329" s="72"/>
      <c r="Y329" s="72"/>
      <c r="Z329" s="16"/>
      <c r="AA329" s="2072"/>
      <c r="AB329" s="2072"/>
      <c r="AC329" s="2072"/>
      <c r="AD329" s="2072"/>
      <c r="AE329" s="2072"/>
      <c r="AF329" s="2072"/>
      <c r="AG329" s="8" t="s">
        <v>900</v>
      </c>
      <c r="AH329" s="8"/>
      <c r="AI329" s="2070"/>
      <c r="AJ329" s="2070"/>
      <c r="AK329" s="2070"/>
      <c r="AL329" s="327"/>
      <c r="AM329" s="137"/>
      <c r="AN329" s="439"/>
    </row>
    <row r="330" spans="1:76" s="137" customFormat="1" ht="12.75" customHeight="1">
      <c r="A330" s="153"/>
      <c r="B330" s="72" t="s">
        <v>99</v>
      </c>
      <c r="C330" s="72"/>
      <c r="D330" s="72"/>
      <c r="E330" s="72"/>
      <c r="F330" s="72"/>
      <c r="G330" s="72"/>
      <c r="H330" s="1796"/>
      <c r="I330" s="1796"/>
      <c r="J330" s="1796"/>
      <c r="K330" s="1796"/>
      <c r="L330" s="1796"/>
      <c r="M330" s="1796"/>
      <c r="N330" s="1796"/>
      <c r="O330" s="1796"/>
      <c r="P330" s="1796"/>
      <c r="Q330" s="1796"/>
      <c r="R330" s="1796"/>
      <c r="S330" s="72"/>
      <c r="T330" s="72" t="s">
        <v>99</v>
      </c>
      <c r="U330" s="16"/>
      <c r="V330" s="72"/>
      <c r="W330" s="72"/>
      <c r="X330" s="72"/>
      <c r="Y330" s="72"/>
      <c r="Z330" s="16"/>
      <c r="AA330" s="1796"/>
      <c r="AB330" s="1796"/>
      <c r="AC330" s="1796"/>
      <c r="AD330" s="1796"/>
      <c r="AE330" s="1796"/>
      <c r="AF330" s="1796"/>
      <c r="AG330" s="1796"/>
      <c r="AH330" s="1796"/>
      <c r="AI330" s="1796"/>
      <c r="AJ330" s="1796"/>
      <c r="AK330" s="1796"/>
      <c r="AL330" s="327"/>
      <c r="AN330" s="1140"/>
    </row>
    <row r="331" spans="1:76" s="46" customFormat="1" ht="12.75" customHeight="1">
      <c r="A331" s="153"/>
      <c r="B331" s="72" t="s">
        <v>101</v>
      </c>
      <c r="C331" s="72"/>
      <c r="D331" s="72"/>
      <c r="E331" s="72"/>
      <c r="F331" s="72"/>
      <c r="G331" s="72"/>
      <c r="H331" s="1796"/>
      <c r="I331" s="1796"/>
      <c r="J331" s="1796"/>
      <c r="K331" s="1796"/>
      <c r="L331" s="1796"/>
      <c r="M331" s="1796"/>
      <c r="N331" s="1796"/>
      <c r="O331" s="1796"/>
      <c r="P331" s="1796"/>
      <c r="Q331" s="1796"/>
      <c r="R331" s="1796"/>
      <c r="S331" s="72"/>
      <c r="T331" s="72" t="s">
        <v>101</v>
      </c>
      <c r="U331" s="16"/>
      <c r="V331" s="72"/>
      <c r="W331" s="72"/>
      <c r="X331" s="72"/>
      <c r="Y331" s="72"/>
      <c r="Z331" s="16"/>
      <c r="AA331" s="1796"/>
      <c r="AB331" s="1796"/>
      <c r="AC331" s="1796"/>
      <c r="AD331" s="1796"/>
      <c r="AE331" s="1796"/>
      <c r="AF331" s="1796"/>
      <c r="AG331" s="1796"/>
      <c r="AH331" s="1796"/>
      <c r="AI331" s="1796"/>
      <c r="AJ331" s="1796"/>
      <c r="AK331" s="1796"/>
      <c r="AL331" s="327"/>
      <c r="AM331" s="137"/>
      <c r="AN331" s="439"/>
    </row>
    <row r="332" spans="1:76" s="46" customFormat="1" ht="12.75" customHeight="1">
      <c r="A332" s="153"/>
      <c r="B332" s="72" t="s">
        <v>112</v>
      </c>
      <c r="C332" s="72"/>
      <c r="D332" s="72"/>
      <c r="E332" s="72"/>
      <c r="F332" s="72"/>
      <c r="G332" s="72"/>
      <c r="H332" s="2329"/>
      <c r="I332" s="2329"/>
      <c r="J332" s="2329"/>
      <c r="K332" s="2329"/>
      <c r="L332" s="2329"/>
      <c r="M332" s="2329"/>
      <c r="N332" s="2329"/>
      <c r="O332" s="2329"/>
      <c r="P332" s="2329"/>
      <c r="Q332" s="2329"/>
      <c r="R332" s="2329"/>
      <c r="S332" s="72"/>
      <c r="T332" s="72" t="s">
        <v>112</v>
      </c>
      <c r="U332" s="72"/>
      <c r="V332" s="72"/>
      <c r="W332" s="72"/>
      <c r="X332" s="72"/>
      <c r="Y332" s="72"/>
      <c r="Z332" s="18"/>
      <c r="AA332" s="2329"/>
      <c r="AB332" s="2329"/>
      <c r="AC332" s="2329"/>
      <c r="AD332" s="2329"/>
      <c r="AE332" s="2329"/>
      <c r="AF332" s="2329"/>
      <c r="AG332" s="2329"/>
      <c r="AH332" s="2329"/>
      <c r="AI332" s="2329"/>
      <c r="AJ332" s="2329"/>
      <c r="AK332" s="2329"/>
      <c r="AL332" s="327"/>
      <c r="AM332" s="423"/>
      <c r="AN332" s="439"/>
    </row>
    <row r="333" spans="1:76" s="46" customFormat="1" ht="12.75" customHeight="1" thickBot="1">
      <c r="A333" s="24"/>
      <c r="B333" s="24"/>
      <c r="C333" s="171"/>
      <c r="D333" s="221"/>
      <c r="E333" s="221"/>
      <c r="F333" s="221"/>
      <c r="G333" s="221"/>
      <c r="H333" s="221"/>
      <c r="I333" s="221"/>
      <c r="J333" s="221"/>
      <c r="K333" s="221"/>
      <c r="L333" s="221"/>
      <c r="M333" s="221"/>
      <c r="N333" s="221"/>
      <c r="O333" s="221"/>
      <c r="P333" s="221"/>
      <c r="Q333" s="221"/>
      <c r="R333" s="221"/>
      <c r="S333" s="221"/>
      <c r="T333" s="221"/>
      <c r="U333" s="221"/>
      <c r="V333" s="221"/>
      <c r="W333" s="221"/>
      <c r="X333" s="221"/>
      <c r="Y333" s="221"/>
      <c r="Z333" s="221"/>
      <c r="AA333" s="221"/>
      <c r="AB333" s="221"/>
      <c r="AC333" s="221"/>
      <c r="AD333" s="169"/>
      <c r="AE333" s="221"/>
      <c r="AF333" s="221"/>
      <c r="AG333" s="221"/>
      <c r="AH333" s="221"/>
      <c r="AI333" s="172"/>
      <c r="AJ333" s="171"/>
      <c r="AK333" s="172"/>
      <c r="AL333" s="172"/>
      <c r="AM333" s="172"/>
      <c r="AN333" s="439"/>
    </row>
    <row r="334" spans="1:76" s="46" customFormat="1" ht="12.75" customHeight="1" thickTop="1">
      <c r="A334" s="35"/>
      <c r="B334" s="294"/>
      <c r="C334" s="295"/>
      <c r="D334" s="295"/>
      <c r="E334" s="295"/>
      <c r="F334" s="295"/>
      <c r="G334" s="295"/>
      <c r="H334" s="295"/>
      <c r="I334" s="174"/>
      <c r="J334" s="174"/>
      <c r="K334" s="174"/>
      <c r="L334" s="174"/>
      <c r="M334" s="174"/>
      <c r="N334" s="174"/>
      <c r="O334" s="174"/>
      <c r="P334" s="174"/>
      <c r="Q334" s="174"/>
      <c r="R334" s="35"/>
      <c r="S334" s="35"/>
      <c r="T334" s="63"/>
      <c r="U334" s="63"/>
      <c r="V334" s="63"/>
      <c r="W334" s="63"/>
      <c r="X334" s="63"/>
      <c r="Y334" s="63"/>
      <c r="Z334" s="63"/>
      <c r="AA334" s="63"/>
      <c r="AB334" s="63"/>
      <c r="AC334" s="63"/>
      <c r="AD334" s="63"/>
      <c r="AE334" s="63"/>
      <c r="AF334" s="35"/>
      <c r="AG334" s="63"/>
      <c r="AH334" s="63"/>
      <c r="AI334" s="63"/>
      <c r="AJ334" s="63"/>
      <c r="AM334" s="153"/>
      <c r="AN334" s="439"/>
    </row>
    <row r="335" spans="1:76" s="46" customFormat="1" ht="12.75" customHeight="1">
      <c r="B335" s="152" t="s">
        <v>1640</v>
      </c>
      <c r="C335" s="161"/>
      <c r="D335" s="28"/>
      <c r="E335" s="28"/>
      <c r="F335" s="153"/>
      <c r="G335" s="153"/>
      <c r="H335" s="153"/>
      <c r="I335" s="153"/>
      <c r="J335" s="153"/>
      <c r="K335" s="153"/>
      <c r="L335" s="153"/>
      <c r="M335" s="153"/>
      <c r="N335" s="153"/>
      <c r="O335" s="153"/>
      <c r="P335" s="153"/>
      <c r="Q335" s="153"/>
      <c r="R335" s="153"/>
      <c r="S335" s="153"/>
      <c r="T335" s="153"/>
      <c r="U335" s="153"/>
      <c r="V335" s="153"/>
      <c r="W335" s="153"/>
      <c r="X335" s="153"/>
      <c r="Y335" s="153"/>
      <c r="Z335" s="153"/>
      <c r="AA335" s="153"/>
      <c r="AB335" s="153"/>
      <c r="AC335" s="48"/>
      <c r="AD335" s="153"/>
      <c r="AE335" s="2352" t="s">
        <v>408</v>
      </c>
      <c r="AF335" s="2352"/>
      <c r="AG335" s="2352"/>
      <c r="AH335" s="2352"/>
      <c r="AI335" s="2352"/>
      <c r="AJ335" s="2352"/>
      <c r="AK335" s="2352"/>
      <c r="AL335" s="152"/>
      <c r="AM335" s="1421"/>
      <c r="AN335" s="152"/>
    </row>
    <row r="336" spans="1:76" s="46" customFormat="1" ht="12.75" customHeight="1">
      <c r="A336" s="152"/>
      <c r="B336" s="161"/>
      <c r="C336" s="2382" t="s">
        <v>2090</v>
      </c>
      <c r="D336" s="2382"/>
      <c r="E336" s="2382"/>
      <c r="F336" s="2382"/>
      <c r="G336" s="2382"/>
      <c r="H336" s="2382"/>
      <c r="I336" s="2382"/>
      <c r="J336" s="2382"/>
      <c r="K336" s="2382"/>
      <c r="L336" s="2382"/>
      <c r="M336" s="2382"/>
      <c r="N336" s="2382"/>
      <c r="O336" s="2382"/>
      <c r="P336" s="2382"/>
      <c r="Q336" s="2382"/>
      <c r="R336" s="2382"/>
      <c r="S336" s="2382"/>
      <c r="T336" s="2382"/>
      <c r="U336" s="2382"/>
      <c r="V336" s="2382"/>
      <c r="W336" s="2382"/>
      <c r="X336" s="2382"/>
      <c r="Y336" s="2382"/>
      <c r="Z336" s="2382"/>
      <c r="AA336" s="2382"/>
      <c r="AB336" s="2382"/>
      <c r="AC336" s="2382"/>
      <c r="AD336" s="2382"/>
      <c r="AE336" s="2382"/>
      <c r="AF336" s="2382"/>
      <c r="AG336" s="2382"/>
      <c r="AH336" s="2382"/>
      <c r="AI336" s="2382"/>
      <c r="AJ336" s="2382"/>
      <c r="AM336" s="1422"/>
      <c r="AS336" s="1328"/>
      <c r="AT336" s="1328"/>
      <c r="AU336" s="1328"/>
      <c r="AV336" s="1328"/>
      <c r="AW336" s="1328"/>
      <c r="AX336" s="1328"/>
      <c r="AY336" s="1328"/>
      <c r="AZ336" s="1328"/>
      <c r="BA336" s="1328"/>
      <c r="BB336" s="1328"/>
      <c r="BC336" s="1328"/>
      <c r="BD336" s="1328"/>
      <c r="BE336" s="1328"/>
      <c r="BF336" s="1328"/>
      <c r="BG336" s="1328"/>
      <c r="BH336" s="1328"/>
      <c r="BI336" s="1328"/>
      <c r="BJ336" s="1328"/>
      <c r="BK336" s="1328"/>
      <c r="BL336" s="1328"/>
      <c r="BM336" s="1328"/>
      <c r="BN336" s="1328"/>
      <c r="BO336" s="1328"/>
      <c r="BP336" s="1328"/>
      <c r="BQ336" s="1328"/>
      <c r="BR336" s="1328"/>
      <c r="BS336" s="1328"/>
      <c r="BT336" s="1328"/>
      <c r="BU336" s="1328"/>
      <c r="BV336" s="1328"/>
      <c r="BW336" s="1328"/>
      <c r="BX336" s="1328"/>
    </row>
    <row r="337" spans="1:76" s="46" customFormat="1" ht="12.75" customHeight="1">
      <c r="A337" s="16"/>
      <c r="C337" s="2382"/>
      <c r="D337" s="2382"/>
      <c r="E337" s="2382"/>
      <c r="F337" s="2382"/>
      <c r="G337" s="2382"/>
      <c r="H337" s="2382"/>
      <c r="I337" s="2382"/>
      <c r="J337" s="2382"/>
      <c r="K337" s="2382"/>
      <c r="L337" s="2382"/>
      <c r="M337" s="2382"/>
      <c r="N337" s="2382"/>
      <c r="O337" s="2382"/>
      <c r="P337" s="2382"/>
      <c r="Q337" s="2382"/>
      <c r="R337" s="2382"/>
      <c r="S337" s="2382"/>
      <c r="T337" s="2382"/>
      <c r="U337" s="2382"/>
      <c r="V337" s="2382"/>
      <c r="W337" s="2382"/>
      <c r="X337" s="2382"/>
      <c r="Y337" s="2382"/>
      <c r="Z337" s="2382"/>
      <c r="AA337" s="2382"/>
      <c r="AB337" s="2382"/>
      <c r="AC337" s="2382"/>
      <c r="AD337" s="2382"/>
      <c r="AE337" s="2382"/>
      <c r="AF337" s="2382"/>
      <c r="AG337" s="2382"/>
      <c r="AH337" s="2382"/>
      <c r="AI337" s="2382"/>
      <c r="AJ337" s="2382"/>
      <c r="AK337" s="152"/>
      <c r="AL337" s="152"/>
      <c r="AM337" s="163"/>
      <c r="AN337" s="439"/>
      <c r="AR337" s="1328"/>
      <c r="AS337" s="1328"/>
      <c r="AT337" s="1328"/>
      <c r="AU337" s="1328"/>
      <c r="AV337" s="1328"/>
      <c r="AW337" s="1328"/>
      <c r="AX337" s="1328"/>
      <c r="AY337" s="1328"/>
      <c r="AZ337" s="1328"/>
      <c r="BA337" s="1328"/>
      <c r="BB337" s="1328"/>
      <c r="BC337" s="1328"/>
      <c r="BD337" s="1328"/>
      <c r="BE337" s="1328"/>
      <c r="BF337" s="1328"/>
      <c r="BG337" s="1328"/>
      <c r="BH337" s="1328"/>
      <c r="BI337" s="1328"/>
      <c r="BJ337" s="1328"/>
      <c r="BK337" s="1328"/>
      <c r="BL337" s="1328"/>
      <c r="BM337" s="1328"/>
      <c r="BN337" s="1328"/>
      <c r="BO337" s="1328"/>
      <c r="BP337" s="1328"/>
      <c r="BQ337" s="1328"/>
      <c r="BR337" s="1328"/>
      <c r="BS337" s="1328"/>
      <c r="BT337" s="1328"/>
      <c r="BU337" s="1328"/>
      <c r="BV337" s="1328"/>
      <c r="BW337" s="1328"/>
      <c r="BX337" s="1328"/>
    </row>
    <row r="338" spans="1:76" s="46" customFormat="1" ht="12.75" customHeight="1">
      <c r="A338" s="163"/>
      <c r="B338" s="164"/>
      <c r="C338" s="2382"/>
      <c r="D338" s="2382"/>
      <c r="E338" s="2382"/>
      <c r="F338" s="2382"/>
      <c r="G338" s="2382"/>
      <c r="H338" s="2382"/>
      <c r="I338" s="2382"/>
      <c r="J338" s="2382"/>
      <c r="K338" s="2382"/>
      <c r="L338" s="2382"/>
      <c r="M338" s="2382"/>
      <c r="N338" s="2382"/>
      <c r="O338" s="2382"/>
      <c r="P338" s="2382"/>
      <c r="Q338" s="2382"/>
      <c r="R338" s="2382"/>
      <c r="S338" s="2382"/>
      <c r="T338" s="2382"/>
      <c r="U338" s="2382"/>
      <c r="V338" s="2382"/>
      <c r="W338" s="2382"/>
      <c r="X338" s="2382"/>
      <c r="Y338" s="2382"/>
      <c r="Z338" s="2382"/>
      <c r="AA338" s="2382"/>
      <c r="AB338" s="2382"/>
      <c r="AC338" s="2382"/>
      <c r="AD338" s="2382"/>
      <c r="AE338" s="2382"/>
      <c r="AF338" s="2382"/>
      <c r="AG338" s="2382"/>
      <c r="AH338" s="2382"/>
      <c r="AI338" s="2382"/>
      <c r="AJ338" s="2382"/>
      <c r="AK338" s="163"/>
      <c r="AL338" s="163"/>
      <c r="AM338" s="163"/>
      <c r="AN338" s="439"/>
      <c r="AO338" s="293"/>
      <c r="AR338" s="1328"/>
      <c r="AS338" s="1328"/>
      <c r="AT338" s="1328"/>
      <c r="AU338" s="1328"/>
      <c r="AV338" s="1328"/>
      <c r="AW338" s="1328"/>
      <c r="AX338" s="1328"/>
      <c r="AY338" s="1328"/>
      <c r="AZ338" s="1328"/>
      <c r="BA338" s="1328"/>
      <c r="BB338" s="1328"/>
      <c r="BC338" s="1328"/>
      <c r="BD338" s="1328"/>
      <c r="BE338" s="1328"/>
      <c r="BF338" s="1328"/>
      <c r="BG338" s="1328"/>
      <c r="BH338" s="1328"/>
      <c r="BI338" s="1328"/>
      <c r="BJ338" s="1328"/>
      <c r="BK338" s="1328"/>
      <c r="BL338" s="1328"/>
      <c r="BM338" s="1328"/>
      <c r="BN338" s="1328"/>
      <c r="BO338" s="1328"/>
      <c r="BP338" s="1328"/>
      <c r="BQ338" s="1328"/>
      <c r="BR338" s="1328"/>
      <c r="BS338" s="1328"/>
      <c r="BT338" s="1328"/>
      <c r="BU338" s="1328"/>
      <c r="BV338" s="1328"/>
      <c r="BW338" s="1328"/>
      <c r="BX338" s="1328"/>
    </row>
    <row r="339" spans="1:76" s="46" customFormat="1" ht="12.75" customHeight="1">
      <c r="A339" s="163"/>
      <c r="B339" s="164"/>
      <c r="C339" s="2382"/>
      <c r="D339" s="2382"/>
      <c r="E339" s="2382"/>
      <c r="F339" s="2382"/>
      <c r="G339" s="2382"/>
      <c r="H339" s="2382"/>
      <c r="I339" s="2382"/>
      <c r="J339" s="2382"/>
      <c r="K339" s="2382"/>
      <c r="L339" s="2382"/>
      <c r="M339" s="2382"/>
      <c r="N339" s="2382"/>
      <c r="O339" s="2382"/>
      <c r="P339" s="2382"/>
      <c r="Q339" s="2382"/>
      <c r="R339" s="2382"/>
      <c r="S339" s="2382"/>
      <c r="T339" s="2382"/>
      <c r="U339" s="2382"/>
      <c r="V339" s="2382"/>
      <c r="W339" s="2382"/>
      <c r="X339" s="2382"/>
      <c r="Y339" s="2382"/>
      <c r="Z339" s="2382"/>
      <c r="AA339" s="2382"/>
      <c r="AB339" s="2382"/>
      <c r="AC339" s="2382"/>
      <c r="AD339" s="2382"/>
      <c r="AE339" s="2382"/>
      <c r="AF339" s="2382"/>
      <c r="AG339" s="2382"/>
      <c r="AH339" s="2382"/>
      <c r="AI339" s="2382"/>
      <c r="AJ339" s="2382"/>
      <c r="AK339" s="163"/>
      <c r="AL339" s="163"/>
      <c r="AM339" s="163"/>
      <c r="AN339" s="439"/>
      <c r="AO339" s="293"/>
      <c r="AR339" s="1328"/>
      <c r="AS339" s="1328"/>
      <c r="AT339" s="1328"/>
      <c r="AU339" s="1328"/>
      <c r="AV339" s="1328"/>
      <c r="AW339" s="1328"/>
      <c r="AX339" s="1328"/>
      <c r="AY339" s="1328"/>
      <c r="AZ339" s="1328"/>
      <c r="BA339" s="1328"/>
      <c r="BB339" s="1328"/>
      <c r="BC339" s="1328"/>
      <c r="BD339" s="1328"/>
      <c r="BE339" s="1328"/>
      <c r="BF339" s="1328"/>
      <c r="BG339" s="1328"/>
      <c r="BH339" s="1328"/>
      <c r="BI339" s="1328"/>
      <c r="BJ339" s="1328"/>
      <c r="BK339" s="1328"/>
      <c r="BL339" s="1328"/>
      <c r="BM339" s="1328"/>
      <c r="BN339" s="1328"/>
      <c r="BO339" s="1328"/>
      <c r="BP339" s="1328"/>
      <c r="BQ339" s="1328"/>
      <c r="BR339" s="1328"/>
      <c r="BS339" s="1328"/>
      <c r="BT339" s="1328"/>
      <c r="BU339" s="1328"/>
      <c r="BV339" s="1328"/>
      <c r="BW339" s="1328"/>
      <c r="BX339" s="1328"/>
    </row>
    <row r="340" spans="1:76" s="46" customFormat="1" ht="12.75" customHeight="1">
      <c r="A340" s="163"/>
      <c r="B340" s="164"/>
      <c r="C340" s="2382"/>
      <c r="D340" s="2382"/>
      <c r="E340" s="2382"/>
      <c r="F340" s="2382"/>
      <c r="G340" s="2382"/>
      <c r="H340" s="2382"/>
      <c r="I340" s="2382"/>
      <c r="J340" s="2382"/>
      <c r="K340" s="2382"/>
      <c r="L340" s="2382"/>
      <c r="M340" s="2382"/>
      <c r="N340" s="2382"/>
      <c r="O340" s="2382"/>
      <c r="P340" s="2382"/>
      <c r="Q340" s="2382"/>
      <c r="R340" s="2382"/>
      <c r="S340" s="2382"/>
      <c r="T340" s="2382"/>
      <c r="U340" s="2382"/>
      <c r="V340" s="2382"/>
      <c r="W340" s="2382"/>
      <c r="X340" s="2382"/>
      <c r="Y340" s="2382"/>
      <c r="Z340" s="2382"/>
      <c r="AA340" s="2382"/>
      <c r="AB340" s="2382"/>
      <c r="AC340" s="2382"/>
      <c r="AD340" s="2382"/>
      <c r="AE340" s="2382"/>
      <c r="AF340" s="2382"/>
      <c r="AG340" s="2382"/>
      <c r="AH340" s="2382"/>
      <c r="AI340" s="2382"/>
      <c r="AJ340" s="2382"/>
      <c r="AK340" s="163"/>
      <c r="AL340" s="163"/>
      <c r="AM340" s="163"/>
      <c r="AN340" s="439"/>
      <c r="AO340" s="293"/>
      <c r="AR340" s="1328"/>
      <c r="AS340" s="1328"/>
      <c r="AT340" s="1328"/>
      <c r="AU340" s="1328"/>
      <c r="AV340" s="1328"/>
      <c r="AW340" s="1328"/>
      <c r="AX340" s="1328"/>
      <c r="AY340" s="1328"/>
      <c r="AZ340" s="1328"/>
      <c r="BA340" s="1328"/>
      <c r="BB340" s="1328"/>
      <c r="BC340" s="1328"/>
      <c r="BD340" s="1328"/>
      <c r="BE340" s="1328"/>
      <c r="BF340" s="1328"/>
      <c r="BG340" s="1328"/>
      <c r="BH340" s="1328"/>
      <c r="BI340" s="1328"/>
      <c r="BJ340" s="1328"/>
      <c r="BK340" s="1328"/>
      <c r="BL340" s="1328"/>
      <c r="BM340" s="1328"/>
      <c r="BN340" s="1328"/>
      <c r="BO340" s="1328"/>
      <c r="BP340" s="1328"/>
      <c r="BQ340" s="1328"/>
      <c r="BR340" s="1328"/>
      <c r="BS340" s="1328"/>
      <c r="BT340" s="1328"/>
      <c r="BU340" s="1328"/>
      <c r="BV340" s="1328"/>
      <c r="BW340" s="1328"/>
      <c r="BX340" s="1328"/>
    </row>
    <row r="341" spans="1:76" s="46" customFormat="1" ht="12.75" customHeight="1">
      <c r="A341" s="163"/>
      <c r="B341" s="164"/>
      <c r="C341" s="2382"/>
      <c r="D341" s="2382"/>
      <c r="E341" s="2382"/>
      <c r="F341" s="2382"/>
      <c r="G341" s="2382"/>
      <c r="H341" s="2382"/>
      <c r="I341" s="2382"/>
      <c r="J341" s="2382"/>
      <c r="K341" s="2382"/>
      <c r="L341" s="2382"/>
      <c r="M341" s="2382"/>
      <c r="N341" s="2382"/>
      <c r="O341" s="2382"/>
      <c r="P341" s="2382"/>
      <c r="Q341" s="2382"/>
      <c r="R341" s="2382"/>
      <c r="S341" s="2382"/>
      <c r="T341" s="2382"/>
      <c r="U341" s="2382"/>
      <c r="V341" s="2382"/>
      <c r="W341" s="2382"/>
      <c r="X341" s="2382"/>
      <c r="Y341" s="2382"/>
      <c r="Z341" s="2382"/>
      <c r="AA341" s="2382"/>
      <c r="AB341" s="2382"/>
      <c r="AC341" s="2382"/>
      <c r="AD341" s="2382"/>
      <c r="AE341" s="2382"/>
      <c r="AF341" s="2382"/>
      <c r="AG341" s="2382"/>
      <c r="AH341" s="2382"/>
      <c r="AI341" s="2382"/>
      <c r="AJ341" s="2382"/>
      <c r="AK341" s="163"/>
      <c r="AL341" s="163"/>
      <c r="AM341" s="163"/>
      <c r="AN341" s="439"/>
      <c r="AO341" s="293"/>
      <c r="AR341" s="1328"/>
      <c r="AS341" s="1328"/>
      <c r="AT341" s="1328"/>
      <c r="AU341" s="1328"/>
      <c r="AV341" s="1328"/>
      <c r="AW341" s="1328"/>
      <c r="AX341" s="1328"/>
      <c r="AY341" s="1328"/>
      <c r="AZ341" s="1328"/>
      <c r="BA341" s="1328"/>
      <c r="BB341" s="1328"/>
      <c r="BC341" s="1328"/>
      <c r="BD341" s="1328"/>
      <c r="BE341" s="1328"/>
      <c r="BF341" s="1328"/>
      <c r="BG341" s="1328"/>
      <c r="BH341" s="1328"/>
      <c r="BI341" s="1328"/>
      <c r="BJ341" s="1328"/>
      <c r="BK341" s="1328"/>
      <c r="BL341" s="1328"/>
      <c r="BM341" s="1328"/>
      <c r="BN341" s="1328"/>
      <c r="BO341" s="1328"/>
      <c r="BP341" s="1328"/>
      <c r="BQ341" s="1328"/>
      <c r="BR341" s="1328"/>
      <c r="BS341" s="1328"/>
      <c r="BT341" s="1328"/>
      <c r="BU341" s="1328"/>
      <c r="BV341" s="1328"/>
      <c r="BW341" s="1328"/>
      <c r="BX341" s="1328"/>
    </row>
    <row r="342" spans="1:76" s="46" customFormat="1" ht="12.6" customHeight="1">
      <c r="A342" s="163"/>
      <c r="B342" s="164"/>
      <c r="C342" s="2382"/>
      <c r="D342" s="2382"/>
      <c r="E342" s="2382"/>
      <c r="F342" s="2382"/>
      <c r="G342" s="2382"/>
      <c r="H342" s="2382"/>
      <c r="I342" s="2382"/>
      <c r="J342" s="2382"/>
      <c r="K342" s="2382"/>
      <c r="L342" s="2382"/>
      <c r="M342" s="2382"/>
      <c r="N342" s="2382"/>
      <c r="O342" s="2382"/>
      <c r="P342" s="2382"/>
      <c r="Q342" s="2382"/>
      <c r="R342" s="2382"/>
      <c r="S342" s="2382"/>
      <c r="T342" s="2382"/>
      <c r="U342" s="2382"/>
      <c r="V342" s="2382"/>
      <c r="W342" s="2382"/>
      <c r="X342" s="2382"/>
      <c r="Y342" s="2382"/>
      <c r="Z342" s="2382"/>
      <c r="AA342" s="2382"/>
      <c r="AB342" s="2382"/>
      <c r="AC342" s="2382"/>
      <c r="AD342" s="2382"/>
      <c r="AE342" s="2382"/>
      <c r="AF342" s="2382"/>
      <c r="AG342" s="2382"/>
      <c r="AH342" s="2382"/>
      <c r="AI342" s="2382"/>
      <c r="AJ342" s="2382"/>
      <c r="AK342" s="163"/>
      <c r="AL342" s="163"/>
      <c r="AM342" s="163"/>
      <c r="AN342" s="439"/>
      <c r="AO342" s="293"/>
      <c r="AR342" s="1328"/>
      <c r="AS342" s="1328"/>
      <c r="AT342" s="1328"/>
      <c r="AU342" s="1328"/>
      <c r="AV342" s="1328"/>
      <c r="AW342" s="1328"/>
      <c r="AX342" s="1328"/>
      <c r="AY342" s="1328"/>
      <c r="AZ342" s="1328"/>
      <c r="BA342" s="1328"/>
      <c r="BB342" s="1328"/>
      <c r="BC342" s="1328"/>
      <c r="BD342" s="1328"/>
      <c r="BE342" s="1328"/>
      <c r="BF342" s="1328"/>
      <c r="BG342" s="1328"/>
      <c r="BH342" s="1328"/>
      <c r="BI342" s="1328"/>
      <c r="BJ342" s="1328"/>
      <c r="BK342" s="1328"/>
      <c r="BL342" s="1328"/>
      <c r="BM342" s="1328"/>
      <c r="BN342" s="1328"/>
      <c r="BO342" s="1328"/>
      <c r="BP342" s="1328"/>
      <c r="BQ342" s="1328"/>
      <c r="BR342" s="1328"/>
      <c r="BS342" s="1328"/>
      <c r="BT342" s="1328"/>
      <c r="BU342" s="1328"/>
      <c r="BV342" s="1328"/>
      <c r="BW342" s="1328"/>
      <c r="BX342" s="1328"/>
    </row>
    <row r="343" spans="1:76" s="46" customFormat="1" ht="12.6" customHeight="1">
      <c r="A343" s="163"/>
      <c r="B343" s="164"/>
      <c r="C343" s="2382"/>
      <c r="D343" s="2382"/>
      <c r="E343" s="2382"/>
      <c r="F343" s="2382"/>
      <c r="G343" s="2382"/>
      <c r="H343" s="2382"/>
      <c r="I343" s="2382"/>
      <c r="J343" s="2382"/>
      <c r="K343" s="2382"/>
      <c r="L343" s="2382"/>
      <c r="M343" s="2382"/>
      <c r="N343" s="2382"/>
      <c r="O343" s="2382"/>
      <c r="P343" s="2382"/>
      <c r="Q343" s="2382"/>
      <c r="R343" s="2382"/>
      <c r="S343" s="2382"/>
      <c r="T343" s="2382"/>
      <c r="U343" s="2382"/>
      <c r="V343" s="2382"/>
      <c r="W343" s="2382"/>
      <c r="X343" s="2382"/>
      <c r="Y343" s="2382"/>
      <c r="Z343" s="2382"/>
      <c r="AA343" s="2382"/>
      <c r="AB343" s="2382"/>
      <c r="AC343" s="2382"/>
      <c r="AD343" s="2382"/>
      <c r="AE343" s="2382"/>
      <c r="AF343" s="2382"/>
      <c r="AG343" s="2382"/>
      <c r="AH343" s="2382"/>
      <c r="AI343" s="2382"/>
      <c r="AJ343" s="2382"/>
      <c r="AK343" s="163"/>
      <c r="AL343" s="163"/>
      <c r="AM343" s="163"/>
      <c r="AN343" s="439"/>
      <c r="AO343" s="293"/>
    </row>
    <row r="344" spans="1:76" s="46" customFormat="1" ht="12.75" customHeight="1">
      <c r="A344" s="163"/>
      <c r="B344" s="164"/>
      <c r="C344" s="2382" t="s">
        <v>2091</v>
      </c>
      <c r="D344" s="2382"/>
      <c r="E344" s="2382"/>
      <c r="F344" s="2382"/>
      <c r="G344" s="2382"/>
      <c r="H344" s="2382"/>
      <c r="I344" s="2382"/>
      <c r="J344" s="2382"/>
      <c r="K344" s="2382"/>
      <c r="L344" s="2382"/>
      <c r="M344" s="2382"/>
      <c r="N344" s="2382"/>
      <c r="O344" s="2382"/>
      <c r="P344" s="2382"/>
      <c r="Q344" s="2382"/>
      <c r="R344" s="2382"/>
      <c r="S344" s="2382"/>
      <c r="T344" s="2382"/>
      <c r="U344" s="2382"/>
      <c r="V344" s="2382"/>
      <c r="W344" s="2382"/>
      <c r="X344" s="2382"/>
      <c r="Y344" s="2382"/>
      <c r="Z344" s="2382"/>
      <c r="AA344" s="2382"/>
      <c r="AB344" s="2382"/>
      <c r="AC344" s="2382"/>
      <c r="AD344" s="2382"/>
      <c r="AE344" s="2382"/>
      <c r="AF344" s="2382"/>
      <c r="AG344" s="2382"/>
      <c r="AH344" s="2382"/>
      <c r="AI344" s="2382"/>
      <c r="AJ344" s="2382"/>
      <c r="AK344" s="163"/>
      <c r="AL344" s="163"/>
      <c r="AM344" s="163"/>
      <c r="AN344" s="439"/>
    </row>
    <row r="345" spans="1:76" s="46" customFormat="1" ht="12.75" customHeight="1">
      <c r="A345" s="163"/>
      <c r="B345" s="164"/>
      <c r="C345" s="2382"/>
      <c r="D345" s="2382"/>
      <c r="E345" s="2382"/>
      <c r="F345" s="2382"/>
      <c r="G345" s="2382"/>
      <c r="H345" s="2382"/>
      <c r="I345" s="2382"/>
      <c r="J345" s="2382"/>
      <c r="K345" s="2382"/>
      <c r="L345" s="2382"/>
      <c r="M345" s="2382"/>
      <c r="N345" s="2382"/>
      <c r="O345" s="2382"/>
      <c r="P345" s="2382"/>
      <c r="Q345" s="2382"/>
      <c r="R345" s="2382"/>
      <c r="S345" s="2382"/>
      <c r="T345" s="2382"/>
      <c r="U345" s="2382"/>
      <c r="V345" s="2382"/>
      <c r="W345" s="2382"/>
      <c r="X345" s="2382"/>
      <c r="Y345" s="2382"/>
      <c r="Z345" s="2382"/>
      <c r="AA345" s="2382"/>
      <c r="AB345" s="2382"/>
      <c r="AC345" s="2382"/>
      <c r="AD345" s="2382"/>
      <c r="AE345" s="2382"/>
      <c r="AF345" s="2382"/>
      <c r="AG345" s="2382"/>
      <c r="AH345" s="2382"/>
      <c r="AI345" s="2382"/>
      <c r="AJ345" s="2382"/>
      <c r="AK345" s="163"/>
      <c r="AL345" s="163"/>
      <c r="AM345" s="163"/>
      <c r="AN345" s="439"/>
    </row>
    <row r="346" spans="1:76" s="46" customFormat="1" ht="12.75" customHeight="1">
      <c r="A346" s="163"/>
      <c r="B346" s="164"/>
      <c r="C346" s="2382"/>
      <c r="D346" s="2382"/>
      <c r="E346" s="2382"/>
      <c r="F346" s="2382"/>
      <c r="G346" s="2382"/>
      <c r="H346" s="2382"/>
      <c r="I346" s="2382"/>
      <c r="J346" s="2382"/>
      <c r="K346" s="2382"/>
      <c r="L346" s="2382"/>
      <c r="M346" s="2382"/>
      <c r="N346" s="2382"/>
      <c r="O346" s="2382"/>
      <c r="P346" s="2382"/>
      <c r="Q346" s="2382"/>
      <c r="R346" s="2382"/>
      <c r="S346" s="2382"/>
      <c r="T346" s="2382"/>
      <c r="U346" s="2382"/>
      <c r="V346" s="2382"/>
      <c r="W346" s="2382"/>
      <c r="X346" s="2382"/>
      <c r="Y346" s="2382"/>
      <c r="Z346" s="2382"/>
      <c r="AA346" s="2382"/>
      <c r="AB346" s="2382"/>
      <c r="AC346" s="2382"/>
      <c r="AD346" s="2382"/>
      <c r="AE346" s="2382"/>
      <c r="AF346" s="2382"/>
      <c r="AG346" s="2382"/>
      <c r="AH346" s="2382"/>
      <c r="AI346" s="2382"/>
      <c r="AJ346" s="2382"/>
      <c r="AK346" s="163"/>
      <c r="AL346" s="163"/>
      <c r="AM346" s="163"/>
      <c r="AN346" s="439"/>
      <c r="AQ346" s="50"/>
      <c r="AR346" s="137"/>
    </row>
    <row r="347" spans="1:76" s="46" customFormat="1" ht="12.75" customHeight="1">
      <c r="A347" s="163"/>
      <c r="B347" s="144"/>
      <c r="C347" s="2382"/>
      <c r="D347" s="2382"/>
      <c r="E347" s="2382"/>
      <c r="F347" s="2382"/>
      <c r="G347" s="2382"/>
      <c r="H347" s="2382"/>
      <c r="I347" s="2382"/>
      <c r="J347" s="2382"/>
      <c r="K347" s="2382"/>
      <c r="L347" s="2382"/>
      <c r="M347" s="2382"/>
      <c r="N347" s="2382"/>
      <c r="O347" s="2382"/>
      <c r="P347" s="2382"/>
      <c r="Q347" s="2382"/>
      <c r="R347" s="2382"/>
      <c r="S347" s="2382"/>
      <c r="T347" s="2382"/>
      <c r="U347" s="2382"/>
      <c r="V347" s="2382"/>
      <c r="W347" s="2382"/>
      <c r="X347" s="2382"/>
      <c r="Y347" s="2382"/>
      <c r="Z347" s="2382"/>
      <c r="AA347" s="2382"/>
      <c r="AB347" s="2382"/>
      <c r="AC347" s="2382"/>
      <c r="AD347" s="2382"/>
      <c r="AE347" s="2382"/>
      <c r="AF347" s="2382"/>
      <c r="AG347" s="2382"/>
      <c r="AH347" s="2382"/>
      <c r="AI347" s="2382"/>
      <c r="AJ347" s="2382"/>
      <c r="AK347" s="163"/>
      <c r="AL347" s="163"/>
      <c r="AM347" s="163"/>
      <c r="AN347" s="439"/>
      <c r="AQ347" s="50"/>
      <c r="AR347" s="137"/>
    </row>
    <row r="348" spans="1:76" s="46" customFormat="1" ht="12.6" customHeight="1">
      <c r="A348" s="163"/>
      <c r="B348" s="144"/>
      <c r="C348" s="2382"/>
      <c r="D348" s="2382"/>
      <c r="E348" s="2382"/>
      <c r="F348" s="2382"/>
      <c r="G348" s="2382"/>
      <c r="H348" s="2382"/>
      <c r="I348" s="2382"/>
      <c r="J348" s="2382"/>
      <c r="K348" s="2382"/>
      <c r="L348" s="2382"/>
      <c r="M348" s="2382"/>
      <c r="N348" s="2382"/>
      <c r="O348" s="2382"/>
      <c r="P348" s="2382"/>
      <c r="Q348" s="2382"/>
      <c r="R348" s="2382"/>
      <c r="S348" s="2382"/>
      <c r="T348" s="2382"/>
      <c r="U348" s="2382"/>
      <c r="V348" s="2382"/>
      <c r="W348" s="2382"/>
      <c r="X348" s="2382"/>
      <c r="Y348" s="2382"/>
      <c r="Z348" s="2382"/>
      <c r="AA348" s="2382"/>
      <c r="AB348" s="2382"/>
      <c r="AC348" s="2382"/>
      <c r="AD348" s="2382"/>
      <c r="AE348" s="2382"/>
      <c r="AF348" s="2382"/>
      <c r="AG348" s="2382"/>
      <c r="AH348" s="2382"/>
      <c r="AI348" s="2382"/>
      <c r="AJ348" s="2382"/>
      <c r="AK348" s="163"/>
      <c r="AL348" s="163"/>
      <c r="AM348" s="163"/>
      <c r="AN348" s="439"/>
      <c r="AQ348" s="50"/>
      <c r="AR348" s="50"/>
    </row>
    <row r="349" spans="1:76" s="46" customFormat="1" ht="12.75" customHeight="1">
      <c r="A349" s="163"/>
      <c r="B349" s="144"/>
      <c r="C349" s="2382" t="s">
        <v>2092</v>
      </c>
      <c r="D349" s="2382"/>
      <c r="E349" s="2382"/>
      <c r="F349" s="2382"/>
      <c r="G349" s="2382"/>
      <c r="H349" s="2382"/>
      <c r="I349" s="2382"/>
      <c r="J349" s="2382"/>
      <c r="K349" s="2382"/>
      <c r="L349" s="2382"/>
      <c r="M349" s="2382"/>
      <c r="N349" s="2382"/>
      <c r="O349" s="2382"/>
      <c r="P349" s="2382"/>
      <c r="Q349" s="2382"/>
      <c r="R349" s="2382"/>
      <c r="S349" s="2382"/>
      <c r="T349" s="2382"/>
      <c r="U349" s="2382"/>
      <c r="V349" s="2382"/>
      <c r="W349" s="2382"/>
      <c r="X349" s="2382"/>
      <c r="Y349" s="2382"/>
      <c r="Z349" s="2382"/>
      <c r="AA349" s="2382"/>
      <c r="AB349" s="2382"/>
      <c r="AC349" s="2382"/>
      <c r="AD349" s="2382"/>
      <c r="AE349" s="2382"/>
      <c r="AF349" s="2382"/>
      <c r="AG349" s="2382"/>
      <c r="AH349" s="2382"/>
      <c r="AI349" s="2382"/>
      <c r="AJ349" s="2382"/>
      <c r="AK349" s="163"/>
      <c r="AL349" s="163"/>
      <c r="AM349" s="163"/>
      <c r="AN349" s="439"/>
      <c r="AQ349" s="50"/>
      <c r="AR349" s="50"/>
    </row>
    <row r="350" spans="1:76" s="46" customFormat="1" ht="12.75" customHeight="1">
      <c r="A350" s="163"/>
      <c r="B350" s="144"/>
      <c r="C350" s="2382"/>
      <c r="D350" s="2382"/>
      <c r="E350" s="2382"/>
      <c r="F350" s="2382"/>
      <c r="G350" s="2382"/>
      <c r="H350" s="2382"/>
      <c r="I350" s="2382"/>
      <c r="J350" s="2382"/>
      <c r="K350" s="2382"/>
      <c r="L350" s="2382"/>
      <c r="M350" s="2382"/>
      <c r="N350" s="2382"/>
      <c r="O350" s="2382"/>
      <c r="P350" s="2382"/>
      <c r="Q350" s="2382"/>
      <c r="R350" s="2382"/>
      <c r="S350" s="2382"/>
      <c r="T350" s="2382"/>
      <c r="U350" s="2382"/>
      <c r="V350" s="2382"/>
      <c r="W350" s="2382"/>
      <c r="X350" s="2382"/>
      <c r="Y350" s="2382"/>
      <c r="Z350" s="2382"/>
      <c r="AA350" s="2382"/>
      <c r="AB350" s="2382"/>
      <c r="AC350" s="2382"/>
      <c r="AD350" s="2382"/>
      <c r="AE350" s="2382"/>
      <c r="AF350" s="2382"/>
      <c r="AG350" s="2382"/>
      <c r="AH350" s="2382"/>
      <c r="AI350" s="2382"/>
      <c r="AJ350" s="2382"/>
      <c r="AK350" s="163"/>
      <c r="AL350" s="163"/>
      <c r="AM350" s="163"/>
      <c r="AN350" s="439"/>
      <c r="AQ350" s="137"/>
      <c r="AR350" s="50"/>
    </row>
    <row r="351" spans="1:76" s="46" customFormat="1" ht="12.75" customHeight="1">
      <c r="A351" s="163"/>
      <c r="B351" s="144"/>
      <c r="C351" s="2382"/>
      <c r="D351" s="2382"/>
      <c r="E351" s="2382"/>
      <c r="F351" s="2382"/>
      <c r="G351" s="2382"/>
      <c r="H351" s="2382"/>
      <c r="I351" s="2382"/>
      <c r="J351" s="2382"/>
      <c r="K351" s="2382"/>
      <c r="L351" s="2382"/>
      <c r="M351" s="2382"/>
      <c r="N351" s="2382"/>
      <c r="O351" s="2382"/>
      <c r="P351" s="2382"/>
      <c r="Q351" s="2382"/>
      <c r="R351" s="2382"/>
      <c r="S351" s="2382"/>
      <c r="T351" s="2382"/>
      <c r="U351" s="2382"/>
      <c r="V351" s="2382"/>
      <c r="W351" s="2382"/>
      <c r="X351" s="2382"/>
      <c r="Y351" s="2382"/>
      <c r="Z351" s="2382"/>
      <c r="AA351" s="2382"/>
      <c r="AB351" s="2382"/>
      <c r="AC351" s="2382"/>
      <c r="AD351" s="2382"/>
      <c r="AE351" s="2382"/>
      <c r="AF351" s="2382"/>
      <c r="AG351" s="2382"/>
      <c r="AH351" s="2382"/>
      <c r="AI351" s="2382"/>
      <c r="AJ351" s="2382"/>
      <c r="AK351" s="163"/>
      <c r="AL351" s="163"/>
      <c r="AM351" s="163"/>
      <c r="AN351" s="439"/>
      <c r="AQ351" s="137"/>
      <c r="AR351" s="50"/>
    </row>
    <row r="352" spans="1:76" s="46" customFormat="1" ht="12.75" customHeight="1">
      <c r="A352" s="163"/>
      <c r="B352" s="144"/>
      <c r="C352" s="2382" t="s">
        <v>2093</v>
      </c>
      <c r="D352" s="2382"/>
      <c r="E352" s="2382"/>
      <c r="F352" s="2382"/>
      <c r="G352" s="2382"/>
      <c r="H352" s="2382"/>
      <c r="I352" s="2382"/>
      <c r="J352" s="2382"/>
      <c r="K352" s="2382"/>
      <c r="L352" s="2382"/>
      <c r="M352" s="2382"/>
      <c r="N352" s="2382"/>
      <c r="O352" s="2382"/>
      <c r="P352" s="2382"/>
      <c r="Q352" s="2382"/>
      <c r="R352" s="2382"/>
      <c r="S352" s="2382"/>
      <c r="T352" s="2382"/>
      <c r="U352" s="2382"/>
      <c r="V352" s="2382"/>
      <c r="W352" s="2382"/>
      <c r="X352" s="2382"/>
      <c r="Y352" s="2382"/>
      <c r="Z352" s="2382"/>
      <c r="AA352" s="2382"/>
      <c r="AB352" s="2382"/>
      <c r="AC352" s="2382"/>
      <c r="AD352" s="2382"/>
      <c r="AE352" s="2382"/>
      <c r="AF352" s="2382"/>
      <c r="AG352" s="2382"/>
      <c r="AH352" s="2382"/>
      <c r="AI352" s="2382"/>
      <c r="AJ352" s="2382"/>
      <c r="AK352" s="163"/>
      <c r="AL352" s="163"/>
      <c r="AM352" s="163"/>
      <c r="AN352" s="439"/>
      <c r="AQ352" s="50"/>
      <c r="AR352" s="50"/>
    </row>
    <row r="353" spans="1:46" s="46" customFormat="1" ht="12.75" customHeight="1">
      <c r="A353" s="163"/>
      <c r="B353" s="144"/>
      <c r="C353" s="2382"/>
      <c r="D353" s="2382"/>
      <c r="E353" s="2382"/>
      <c r="F353" s="2382"/>
      <c r="G353" s="2382"/>
      <c r="H353" s="2382"/>
      <c r="I353" s="2382"/>
      <c r="J353" s="2382"/>
      <c r="K353" s="2382"/>
      <c r="L353" s="2382"/>
      <c r="M353" s="2382"/>
      <c r="N353" s="2382"/>
      <c r="O353" s="2382"/>
      <c r="P353" s="2382"/>
      <c r="Q353" s="2382"/>
      <c r="R353" s="2382"/>
      <c r="S353" s="2382"/>
      <c r="T353" s="2382"/>
      <c r="U353" s="2382"/>
      <c r="V353" s="2382"/>
      <c r="W353" s="2382"/>
      <c r="X353" s="2382"/>
      <c r="Y353" s="2382"/>
      <c r="Z353" s="2382"/>
      <c r="AA353" s="2382"/>
      <c r="AB353" s="2382"/>
      <c r="AC353" s="2382"/>
      <c r="AD353" s="2382"/>
      <c r="AE353" s="2382"/>
      <c r="AF353" s="2382"/>
      <c r="AG353" s="2382"/>
      <c r="AH353" s="2382"/>
      <c r="AI353" s="2382"/>
      <c r="AJ353" s="2382"/>
      <c r="AK353" s="163"/>
      <c r="AL353" s="163"/>
      <c r="AM353" s="163"/>
      <c r="AN353" s="439"/>
      <c r="AQ353" s="50"/>
      <c r="AR353" s="50"/>
    </row>
    <row r="354" spans="1:46" s="46" customFormat="1" ht="13.35" customHeight="1">
      <c r="A354" s="163"/>
      <c r="B354" s="144"/>
      <c r="C354" s="2382"/>
      <c r="D354" s="2382"/>
      <c r="E354" s="2382"/>
      <c r="F354" s="2382"/>
      <c r="G354" s="2382"/>
      <c r="H354" s="2382"/>
      <c r="I354" s="2382"/>
      <c r="J354" s="2382"/>
      <c r="K354" s="2382"/>
      <c r="L354" s="2382"/>
      <c r="M354" s="2382"/>
      <c r="N354" s="2382"/>
      <c r="O354" s="2382"/>
      <c r="P354" s="2382"/>
      <c r="Q354" s="2382"/>
      <c r="R354" s="2382"/>
      <c r="S354" s="2382"/>
      <c r="T354" s="2382"/>
      <c r="U354" s="2382"/>
      <c r="V354" s="2382"/>
      <c r="W354" s="2382"/>
      <c r="X354" s="2382"/>
      <c r="Y354" s="2382"/>
      <c r="Z354" s="2382"/>
      <c r="AA354" s="2382"/>
      <c r="AB354" s="2382"/>
      <c r="AC354" s="2382"/>
      <c r="AD354" s="2382"/>
      <c r="AE354" s="2382"/>
      <c r="AF354" s="2382"/>
      <c r="AG354" s="2382"/>
      <c r="AH354" s="2382"/>
      <c r="AI354" s="2382"/>
      <c r="AJ354" s="2382"/>
      <c r="AK354" s="163"/>
      <c r="AL354" s="163"/>
      <c r="AM354" s="163"/>
      <c r="AN354" s="439"/>
      <c r="AQ354" s="50"/>
      <c r="AR354" s="50"/>
    </row>
    <row r="355" spans="1:46" s="46" customFormat="1" ht="12.75" customHeight="1">
      <c r="A355" s="163"/>
      <c r="B355" s="144"/>
      <c r="C355" s="2382"/>
      <c r="D355" s="2382"/>
      <c r="E355" s="2382"/>
      <c r="F355" s="2382"/>
      <c r="G355" s="2382"/>
      <c r="H355" s="2382"/>
      <c r="I355" s="2382"/>
      <c r="J355" s="2382"/>
      <c r="K355" s="2382"/>
      <c r="L355" s="2382"/>
      <c r="M355" s="2382"/>
      <c r="N355" s="2382"/>
      <c r="O355" s="2382"/>
      <c r="P355" s="2382"/>
      <c r="Q355" s="2382"/>
      <c r="R355" s="2382"/>
      <c r="S355" s="2382"/>
      <c r="T355" s="2382"/>
      <c r="U355" s="2382"/>
      <c r="V355" s="2382"/>
      <c r="W355" s="2382"/>
      <c r="X355" s="2382"/>
      <c r="Y355" s="2382"/>
      <c r="Z355" s="2382"/>
      <c r="AA355" s="2382"/>
      <c r="AB355" s="2382"/>
      <c r="AC355" s="2382"/>
      <c r="AD355" s="2382"/>
      <c r="AE355" s="2382"/>
      <c r="AF355" s="2382"/>
      <c r="AG355" s="2382"/>
      <c r="AH355" s="2382"/>
      <c r="AI355" s="2382"/>
      <c r="AJ355" s="2382"/>
      <c r="AK355" s="163"/>
      <c r="AL355" s="163"/>
      <c r="AM355" s="163"/>
      <c r="AN355" s="439"/>
      <c r="AO355" s="257"/>
      <c r="AP355" s="257"/>
      <c r="AQ355" s="50"/>
      <c r="AR355" s="137"/>
    </row>
    <row r="356" spans="1:46" s="46" customFormat="1" ht="11.85" customHeight="1">
      <c r="A356" s="163"/>
      <c r="B356" s="144"/>
      <c r="C356" s="2382"/>
      <c r="D356" s="2382"/>
      <c r="E356" s="2382"/>
      <c r="F356" s="2382"/>
      <c r="G356" s="2382"/>
      <c r="H356" s="2382"/>
      <c r="I356" s="2382"/>
      <c r="J356" s="2382"/>
      <c r="K356" s="2382"/>
      <c r="L356" s="2382"/>
      <c r="M356" s="2382"/>
      <c r="N356" s="2382"/>
      <c r="O356" s="2382"/>
      <c r="P356" s="2382"/>
      <c r="Q356" s="2382"/>
      <c r="R356" s="2382"/>
      <c r="S356" s="2382"/>
      <c r="T356" s="2382"/>
      <c r="U356" s="2382"/>
      <c r="V356" s="2382"/>
      <c r="W356" s="2382"/>
      <c r="X356" s="2382"/>
      <c r="Y356" s="2382"/>
      <c r="Z356" s="2382"/>
      <c r="AA356" s="2382"/>
      <c r="AB356" s="2382"/>
      <c r="AC356" s="2382"/>
      <c r="AD356" s="2382"/>
      <c r="AE356" s="2382"/>
      <c r="AF356" s="2382"/>
      <c r="AG356" s="2382"/>
      <c r="AH356" s="2382"/>
      <c r="AI356" s="2382"/>
      <c r="AJ356" s="2382"/>
      <c r="AK356" s="163"/>
      <c r="AL356" s="163"/>
      <c r="AM356" s="163"/>
      <c r="AN356" s="439"/>
      <c r="AO356" s="1169" t="s">
        <v>1004</v>
      </c>
      <c r="AP356" s="1170">
        <f>IF(C381="Yes",5,0)</f>
        <v>5</v>
      </c>
      <c r="AQ356" s="137"/>
      <c r="AR356" s="137"/>
      <c r="AS356" s="63" t="s">
        <v>2012</v>
      </c>
    </row>
    <row r="357" spans="1:46" s="46" customFormat="1" ht="12.75" customHeight="1">
      <c r="A357" s="163"/>
      <c r="B357" s="144"/>
      <c r="C357" s="2382"/>
      <c r="D357" s="2382"/>
      <c r="E357" s="2382"/>
      <c r="F357" s="2382"/>
      <c r="G357" s="2382"/>
      <c r="H357" s="2382"/>
      <c r="I357" s="2382"/>
      <c r="J357" s="2382"/>
      <c r="K357" s="2382"/>
      <c r="L357" s="2382"/>
      <c r="M357" s="2382"/>
      <c r="N357" s="2382"/>
      <c r="O357" s="2382"/>
      <c r="P357" s="2382"/>
      <c r="Q357" s="2382"/>
      <c r="R357" s="2382"/>
      <c r="S357" s="2382"/>
      <c r="T357" s="2382"/>
      <c r="U357" s="2382"/>
      <c r="V357" s="2382"/>
      <c r="W357" s="2382"/>
      <c r="X357" s="2382"/>
      <c r="Y357" s="2382"/>
      <c r="Z357" s="2382"/>
      <c r="AA357" s="2382"/>
      <c r="AB357" s="2382"/>
      <c r="AC357" s="2382"/>
      <c r="AD357" s="2382"/>
      <c r="AE357" s="2382"/>
      <c r="AF357" s="2382"/>
      <c r="AG357" s="2382"/>
      <c r="AH357" s="2382"/>
      <c r="AI357" s="2382"/>
      <c r="AJ357" s="2382"/>
      <c r="AK357" s="163"/>
      <c r="AL357" s="163"/>
      <c r="AM357" s="163"/>
      <c r="AN357" s="439"/>
      <c r="AO357" s="1169"/>
      <c r="AP357" s="1170"/>
      <c r="AQ357" s="137"/>
      <c r="AR357" s="137"/>
      <c r="AS357" s="2379">
        <f>IF(AQ370=0,AQ383,AQ370)</f>
        <v>10</v>
      </c>
      <c r="AT357" s="2379"/>
    </row>
    <row r="358" spans="1:46" s="46" customFormat="1" ht="12.75" customHeight="1">
      <c r="A358" s="163"/>
      <c r="B358" s="144"/>
      <c r="C358" s="2382"/>
      <c r="D358" s="2382"/>
      <c r="E358" s="2382"/>
      <c r="F358" s="2382"/>
      <c r="G358" s="2382"/>
      <c r="H358" s="2382"/>
      <c r="I358" s="2382"/>
      <c r="J358" s="2382"/>
      <c r="K358" s="2382"/>
      <c r="L358" s="2382"/>
      <c r="M358" s="2382"/>
      <c r="N358" s="2382"/>
      <c r="O358" s="2382"/>
      <c r="P358" s="2382"/>
      <c r="Q358" s="2382"/>
      <c r="R358" s="2382"/>
      <c r="S358" s="2382"/>
      <c r="T358" s="2382"/>
      <c r="U358" s="2382"/>
      <c r="V358" s="2382"/>
      <c r="W358" s="2382"/>
      <c r="X358" s="2382"/>
      <c r="Y358" s="2382"/>
      <c r="Z358" s="2382"/>
      <c r="AA358" s="2382"/>
      <c r="AB358" s="2382"/>
      <c r="AC358" s="2382"/>
      <c r="AD358" s="2382"/>
      <c r="AE358" s="2382"/>
      <c r="AF358" s="2382"/>
      <c r="AG358" s="2382"/>
      <c r="AH358" s="2382"/>
      <c r="AI358" s="2382"/>
      <c r="AJ358" s="2382"/>
      <c r="AK358" s="163"/>
      <c r="AL358" s="163"/>
      <c r="AM358" s="163"/>
      <c r="AN358" s="439"/>
      <c r="AO358" s="1169" t="s">
        <v>1005</v>
      </c>
      <c r="AP358" s="1170">
        <f>IF(C391="Yes",5,0)</f>
        <v>0</v>
      </c>
      <c r="AS358" s="63" t="s">
        <v>2046</v>
      </c>
    </row>
    <row r="359" spans="1:46" s="46" customFormat="1" ht="12.75" customHeight="1">
      <c r="A359" s="163"/>
      <c r="B359" s="144"/>
      <c r="C359" s="2382"/>
      <c r="D359" s="2382"/>
      <c r="E359" s="2382"/>
      <c r="F359" s="2382"/>
      <c r="G359" s="2382"/>
      <c r="H359" s="2382"/>
      <c r="I359" s="2382"/>
      <c r="J359" s="2382"/>
      <c r="K359" s="2382"/>
      <c r="L359" s="2382"/>
      <c r="M359" s="2382"/>
      <c r="N359" s="2382"/>
      <c r="O359" s="2382"/>
      <c r="P359" s="2382"/>
      <c r="Q359" s="2382"/>
      <c r="R359" s="2382"/>
      <c r="S359" s="2382"/>
      <c r="T359" s="2382"/>
      <c r="U359" s="2382"/>
      <c r="V359" s="2382"/>
      <c r="W359" s="2382"/>
      <c r="X359" s="2382"/>
      <c r="Y359" s="2382"/>
      <c r="Z359" s="2382"/>
      <c r="AA359" s="2382"/>
      <c r="AB359" s="2382"/>
      <c r="AC359" s="2382"/>
      <c r="AD359" s="2382"/>
      <c r="AE359" s="2382"/>
      <c r="AF359" s="2382"/>
      <c r="AG359" s="2382"/>
      <c r="AH359" s="2382"/>
      <c r="AI359" s="2382"/>
      <c r="AJ359" s="2382"/>
      <c r="AK359" s="163"/>
      <c r="AL359" s="163"/>
      <c r="AM359" s="163"/>
      <c r="AN359" s="439"/>
      <c r="AO359" s="1169"/>
      <c r="AP359" s="1170"/>
      <c r="AS359" s="2379">
        <f>IF(AND(AQ370&gt;0,AQ383&gt;0),(AQ370+AQ383)/2,0)</f>
        <v>12.5</v>
      </c>
      <c r="AT359" s="2379"/>
    </row>
    <row r="360" spans="1:46" s="46" customFormat="1" ht="12.75" customHeight="1">
      <c r="A360" s="163"/>
      <c r="B360" s="144"/>
      <c r="C360" s="2382"/>
      <c r="D360" s="2382"/>
      <c r="E360" s="2382"/>
      <c r="F360" s="2382"/>
      <c r="G360" s="2382"/>
      <c r="H360" s="2382"/>
      <c r="I360" s="2382"/>
      <c r="J360" s="2382"/>
      <c r="K360" s="2382"/>
      <c r="L360" s="2382"/>
      <c r="M360" s="2382"/>
      <c r="N360" s="2382"/>
      <c r="O360" s="2382"/>
      <c r="P360" s="2382"/>
      <c r="Q360" s="2382"/>
      <c r="R360" s="2382"/>
      <c r="S360" s="2382"/>
      <c r="T360" s="2382"/>
      <c r="U360" s="2382"/>
      <c r="V360" s="2382"/>
      <c r="W360" s="2382"/>
      <c r="X360" s="2382"/>
      <c r="Y360" s="2382"/>
      <c r="Z360" s="2382"/>
      <c r="AA360" s="2382"/>
      <c r="AB360" s="2382"/>
      <c r="AC360" s="2382"/>
      <c r="AD360" s="2382"/>
      <c r="AE360" s="2382"/>
      <c r="AF360" s="2382"/>
      <c r="AG360" s="2382"/>
      <c r="AH360" s="2382"/>
      <c r="AI360" s="2382"/>
      <c r="AJ360" s="2382"/>
      <c r="AK360" s="163"/>
      <c r="AL360" s="163"/>
      <c r="AM360" s="163"/>
      <c r="AN360" s="439"/>
      <c r="AO360" s="1169" t="s">
        <v>1011</v>
      </c>
      <c r="AP360" s="1170">
        <f>IF(C401="Yes",7,0)</f>
        <v>0</v>
      </c>
      <c r="AQ360" s="137"/>
      <c r="AR360" s="137"/>
    </row>
    <row r="361" spans="1:46" s="46" customFormat="1" ht="12.75" customHeight="1">
      <c r="A361" s="163"/>
      <c r="B361" s="144"/>
      <c r="C361" s="2382" t="s">
        <v>2094</v>
      </c>
      <c r="D361" s="2382"/>
      <c r="E361" s="2382"/>
      <c r="F361" s="2382"/>
      <c r="G361" s="2382"/>
      <c r="H361" s="2382"/>
      <c r="I361" s="2382"/>
      <c r="J361" s="2382"/>
      <c r="K361" s="2382"/>
      <c r="L361" s="2382"/>
      <c r="M361" s="2382"/>
      <c r="N361" s="2382"/>
      <c r="O361" s="2382"/>
      <c r="P361" s="2382"/>
      <c r="Q361" s="2382"/>
      <c r="R361" s="2382"/>
      <c r="S361" s="2382"/>
      <c r="T361" s="2382"/>
      <c r="U361" s="2382"/>
      <c r="V361" s="2382"/>
      <c r="W361" s="2382"/>
      <c r="X361" s="2382"/>
      <c r="Y361" s="2382"/>
      <c r="Z361" s="2382"/>
      <c r="AA361" s="2382"/>
      <c r="AB361" s="2382"/>
      <c r="AC361" s="2382"/>
      <c r="AD361" s="2382"/>
      <c r="AE361" s="2382"/>
      <c r="AF361" s="2382"/>
      <c r="AG361" s="2382"/>
      <c r="AH361" s="2382"/>
      <c r="AI361" s="2382"/>
      <c r="AJ361" s="2382"/>
      <c r="AK361" s="163"/>
      <c r="AL361" s="163"/>
      <c r="AM361" s="163"/>
      <c r="AN361" s="439"/>
      <c r="AO361" s="439"/>
      <c r="AP361" s="1170">
        <f>IF(C403="Yes",5,0)</f>
        <v>5</v>
      </c>
    </row>
    <row r="362" spans="1:46" s="46" customFormat="1" ht="12.75" customHeight="1">
      <c r="A362" s="163"/>
      <c r="B362" s="144"/>
      <c r="C362" s="2382"/>
      <c r="D362" s="2382"/>
      <c r="E362" s="2382"/>
      <c r="F362" s="2382"/>
      <c r="G362" s="2382"/>
      <c r="H362" s="2382"/>
      <c r="I362" s="2382"/>
      <c r="J362" s="2382"/>
      <c r="K362" s="2382"/>
      <c r="L362" s="2382"/>
      <c r="M362" s="2382"/>
      <c r="N362" s="2382"/>
      <c r="O362" s="2382"/>
      <c r="P362" s="2382"/>
      <c r="Q362" s="2382"/>
      <c r="R362" s="2382"/>
      <c r="S362" s="2382"/>
      <c r="T362" s="2382"/>
      <c r="U362" s="2382"/>
      <c r="V362" s="2382"/>
      <c r="W362" s="2382"/>
      <c r="X362" s="2382"/>
      <c r="Y362" s="2382"/>
      <c r="Z362" s="2382"/>
      <c r="AA362" s="2382"/>
      <c r="AB362" s="2382"/>
      <c r="AC362" s="2382"/>
      <c r="AD362" s="2382"/>
      <c r="AE362" s="2382"/>
      <c r="AF362" s="2382"/>
      <c r="AG362" s="2382"/>
      <c r="AH362" s="2382"/>
      <c r="AI362" s="2382"/>
      <c r="AJ362" s="2382"/>
      <c r="AK362" s="163"/>
      <c r="AL362" s="163"/>
      <c r="AM362" s="163"/>
      <c r="AN362" s="439"/>
      <c r="AO362" s="439"/>
      <c r="AP362" s="1170"/>
    </row>
    <row r="363" spans="1:46" s="46" customFormat="1" ht="12.75" customHeight="1">
      <c r="A363" s="163"/>
      <c r="B363" s="144"/>
      <c r="C363" s="2382"/>
      <c r="D363" s="2382"/>
      <c r="E363" s="2382"/>
      <c r="F363" s="2382"/>
      <c r="G363" s="2382"/>
      <c r="H363" s="2382"/>
      <c r="I363" s="2382"/>
      <c r="J363" s="2382"/>
      <c r="K363" s="2382"/>
      <c r="L363" s="2382"/>
      <c r="M363" s="2382"/>
      <c r="N363" s="2382"/>
      <c r="O363" s="2382"/>
      <c r="P363" s="2382"/>
      <c r="Q363" s="2382"/>
      <c r="R363" s="2382"/>
      <c r="S363" s="2382"/>
      <c r="T363" s="2382"/>
      <c r="U363" s="2382"/>
      <c r="V363" s="2382"/>
      <c r="W363" s="2382"/>
      <c r="X363" s="2382"/>
      <c r="Y363" s="2382"/>
      <c r="Z363" s="2382"/>
      <c r="AA363" s="2382"/>
      <c r="AB363" s="2382"/>
      <c r="AC363" s="2382"/>
      <c r="AD363" s="2382"/>
      <c r="AE363" s="2382"/>
      <c r="AF363" s="2382"/>
      <c r="AG363" s="2382"/>
      <c r="AH363" s="2382"/>
      <c r="AI363" s="2382"/>
      <c r="AJ363" s="2382"/>
      <c r="AK363" s="163"/>
      <c r="AL363" s="163"/>
      <c r="AM363" s="163"/>
      <c r="AN363" s="439"/>
      <c r="AO363" s="1169" t="s">
        <v>480</v>
      </c>
      <c r="AP363" s="1170">
        <f>IF(C411="Yes",5,0)</f>
        <v>0</v>
      </c>
    </row>
    <row r="364" spans="1:46" s="46" customFormat="1" ht="11.85" customHeight="1">
      <c r="A364" s="163"/>
      <c r="B364" s="144"/>
      <c r="C364" s="2382"/>
      <c r="D364" s="2382"/>
      <c r="E364" s="2382"/>
      <c r="F364" s="2382"/>
      <c r="G364" s="2382"/>
      <c r="H364" s="2382"/>
      <c r="I364" s="2382"/>
      <c r="J364" s="2382"/>
      <c r="K364" s="2382"/>
      <c r="L364" s="2382"/>
      <c r="M364" s="2382"/>
      <c r="N364" s="2382"/>
      <c r="O364" s="2382"/>
      <c r="P364" s="2382"/>
      <c r="Q364" s="2382"/>
      <c r="R364" s="2382"/>
      <c r="S364" s="2382"/>
      <c r="T364" s="2382"/>
      <c r="U364" s="2382"/>
      <c r="V364" s="2382"/>
      <c r="W364" s="2382"/>
      <c r="X364" s="2382"/>
      <c r="Y364" s="2382"/>
      <c r="Z364" s="2382"/>
      <c r="AA364" s="2382"/>
      <c r="AB364" s="2382"/>
      <c r="AC364" s="2382"/>
      <c r="AD364" s="2382"/>
      <c r="AE364" s="2382"/>
      <c r="AF364" s="2382"/>
      <c r="AG364" s="2382"/>
      <c r="AH364" s="2382"/>
      <c r="AI364" s="2382"/>
      <c r="AJ364" s="2382"/>
      <c r="AK364" s="163"/>
      <c r="AL364" s="163"/>
      <c r="AM364" s="163"/>
      <c r="AN364" s="439"/>
      <c r="AO364" s="439"/>
      <c r="AP364" s="1170">
        <f>IF(C413="Yes",3,0)</f>
        <v>0</v>
      </c>
    </row>
    <row r="365" spans="1:46" s="46" customFormat="1" ht="12.6" customHeight="1">
      <c r="A365" s="163"/>
      <c r="B365" s="144"/>
      <c r="C365" s="2382"/>
      <c r="D365" s="2382"/>
      <c r="E365" s="2382"/>
      <c r="F365" s="2382"/>
      <c r="G365" s="2382"/>
      <c r="H365" s="2382"/>
      <c r="I365" s="2382"/>
      <c r="J365" s="2382"/>
      <c r="K365" s="2382"/>
      <c r="L365" s="2382"/>
      <c r="M365" s="2382"/>
      <c r="N365" s="2382"/>
      <c r="O365" s="2382"/>
      <c r="P365" s="2382"/>
      <c r="Q365" s="2382"/>
      <c r="R365" s="2382"/>
      <c r="S365" s="2382"/>
      <c r="T365" s="2382"/>
      <c r="U365" s="2382"/>
      <c r="V365" s="2382"/>
      <c r="W365" s="2382"/>
      <c r="X365" s="2382"/>
      <c r="Y365" s="2382"/>
      <c r="Z365" s="2382"/>
      <c r="AA365" s="2382"/>
      <c r="AB365" s="2382"/>
      <c r="AC365" s="2382"/>
      <c r="AD365" s="2382"/>
      <c r="AE365" s="2382"/>
      <c r="AF365" s="2382"/>
      <c r="AG365" s="2382"/>
      <c r="AH365" s="2382"/>
      <c r="AI365" s="2382"/>
      <c r="AJ365" s="2382"/>
      <c r="AK365" s="163"/>
      <c r="AL365" s="163"/>
      <c r="AM365" s="163"/>
      <c r="AN365" s="439"/>
      <c r="AO365" s="439"/>
      <c r="AP365" s="1170"/>
    </row>
    <row r="366" spans="1:46" s="46" customFormat="1" ht="12.75" customHeight="1">
      <c r="A366" s="163"/>
      <c r="B366" s="144"/>
      <c r="C366" s="2382"/>
      <c r="D366" s="2382"/>
      <c r="E366" s="2382"/>
      <c r="F366" s="2382"/>
      <c r="G366" s="2382"/>
      <c r="H366" s="2382"/>
      <c r="I366" s="2382"/>
      <c r="J366" s="2382"/>
      <c r="K366" s="2382"/>
      <c r="L366" s="2382"/>
      <c r="M366" s="2382"/>
      <c r="N366" s="2382"/>
      <c r="O366" s="2382"/>
      <c r="P366" s="2382"/>
      <c r="Q366" s="2382"/>
      <c r="R366" s="2382"/>
      <c r="S366" s="2382"/>
      <c r="T366" s="2382"/>
      <c r="U366" s="2382"/>
      <c r="V366" s="2382"/>
      <c r="W366" s="2382"/>
      <c r="X366" s="2382"/>
      <c r="Y366" s="2382"/>
      <c r="Z366" s="2382"/>
      <c r="AA366" s="2382"/>
      <c r="AB366" s="2382"/>
      <c r="AC366" s="2382"/>
      <c r="AD366" s="2382"/>
      <c r="AE366" s="2382"/>
      <c r="AF366" s="2382"/>
      <c r="AG366" s="2382"/>
      <c r="AH366" s="2382"/>
      <c r="AI366" s="2382"/>
      <c r="AJ366" s="2382"/>
      <c r="AK366" s="163"/>
      <c r="AL366" s="163"/>
      <c r="AM366" s="163"/>
      <c r="AN366" s="439"/>
      <c r="AO366" s="1169" t="s">
        <v>188</v>
      </c>
      <c r="AP366" s="1170">
        <f>IF(C416="Yes",5,0)</f>
        <v>0</v>
      </c>
    </row>
    <row r="367" spans="1:46" s="46" customFormat="1" ht="12.75" customHeight="1">
      <c r="A367" s="163"/>
      <c r="B367" s="144"/>
      <c r="C367" s="2382"/>
      <c r="D367" s="2382"/>
      <c r="E367" s="2382"/>
      <c r="F367" s="2382"/>
      <c r="G367" s="2382"/>
      <c r="H367" s="2382"/>
      <c r="I367" s="2382"/>
      <c r="J367" s="2382"/>
      <c r="K367" s="2382"/>
      <c r="L367" s="2382"/>
      <c r="M367" s="2382"/>
      <c r="N367" s="2382"/>
      <c r="O367" s="2382"/>
      <c r="P367" s="2382"/>
      <c r="Q367" s="2382"/>
      <c r="R367" s="2382"/>
      <c r="S367" s="2382"/>
      <c r="T367" s="2382"/>
      <c r="U367" s="2382"/>
      <c r="V367" s="2382"/>
      <c r="W367" s="2382"/>
      <c r="X367" s="2382"/>
      <c r="Y367" s="2382"/>
      <c r="Z367" s="2382"/>
      <c r="AA367" s="2382"/>
      <c r="AB367" s="2382"/>
      <c r="AC367" s="2382"/>
      <c r="AD367" s="2382"/>
      <c r="AE367" s="2382"/>
      <c r="AF367" s="2382"/>
      <c r="AG367" s="2382"/>
      <c r="AH367" s="2382"/>
      <c r="AI367" s="2382"/>
      <c r="AJ367" s="2382"/>
      <c r="AK367" s="163"/>
      <c r="AL367" s="163"/>
      <c r="AM367" s="163"/>
      <c r="AN367" s="439"/>
      <c r="AO367" s="1169" t="s">
        <v>483</v>
      </c>
      <c r="AP367" s="1170">
        <f>IF(C425="Yes",5,0)</f>
        <v>0</v>
      </c>
    </row>
    <row r="368" spans="1:46" s="46" customFormat="1" ht="12.75" customHeight="1">
      <c r="A368" s="163"/>
      <c r="B368" s="144"/>
      <c r="C368" s="2382" t="s">
        <v>2095</v>
      </c>
      <c r="D368" s="2382"/>
      <c r="E368" s="2382"/>
      <c r="F368" s="2382"/>
      <c r="G368" s="2382"/>
      <c r="H368" s="2382"/>
      <c r="I368" s="2382"/>
      <c r="J368" s="2382"/>
      <c r="K368" s="2382"/>
      <c r="L368" s="2382"/>
      <c r="M368" s="2382"/>
      <c r="N368" s="2382"/>
      <c r="O368" s="2382"/>
      <c r="P368" s="2382"/>
      <c r="Q368" s="2382"/>
      <c r="R368" s="2382"/>
      <c r="S368" s="2382"/>
      <c r="T368" s="2382"/>
      <c r="U368" s="2382"/>
      <c r="V368" s="2382"/>
      <c r="W368" s="2382"/>
      <c r="X368" s="2382"/>
      <c r="Y368" s="2382"/>
      <c r="Z368" s="2382"/>
      <c r="AA368" s="2382"/>
      <c r="AB368" s="2382"/>
      <c r="AC368" s="2382"/>
      <c r="AD368" s="2382"/>
      <c r="AE368" s="2382"/>
      <c r="AF368" s="2382"/>
      <c r="AG368" s="2382"/>
      <c r="AH368" s="2382"/>
      <c r="AI368" s="2382"/>
      <c r="AJ368" s="2382"/>
      <c r="AK368" s="163"/>
      <c r="AL368" s="163"/>
      <c r="AM368" s="163"/>
      <c r="AN368" s="439"/>
      <c r="AO368" s="439"/>
      <c r="AP368" s="1170">
        <f>IF(C427="Yes",3,0)</f>
        <v>0</v>
      </c>
    </row>
    <row r="369" spans="1:153" s="46" customFormat="1" ht="12.75" customHeight="1">
      <c r="A369" s="163"/>
      <c r="B369" s="144"/>
      <c r="C369" s="2382"/>
      <c r="D369" s="2382"/>
      <c r="E369" s="2382"/>
      <c r="F369" s="2382"/>
      <c r="G369" s="2382"/>
      <c r="H369" s="2382"/>
      <c r="I369" s="2382"/>
      <c r="J369" s="2382"/>
      <c r="K369" s="2382"/>
      <c r="L369" s="2382"/>
      <c r="M369" s="2382"/>
      <c r="N369" s="2382"/>
      <c r="O369" s="2382"/>
      <c r="P369" s="2382"/>
      <c r="Q369" s="2382"/>
      <c r="R369" s="2382"/>
      <c r="S369" s="2382"/>
      <c r="T369" s="2382"/>
      <c r="U369" s="2382"/>
      <c r="V369" s="2382"/>
      <c r="W369" s="2382"/>
      <c r="X369" s="2382"/>
      <c r="Y369" s="2382"/>
      <c r="Z369" s="2382"/>
      <c r="AA369" s="2382"/>
      <c r="AB369" s="2382"/>
      <c r="AC369" s="2382"/>
      <c r="AD369" s="2382"/>
      <c r="AE369" s="2382"/>
      <c r="AF369" s="2382"/>
      <c r="AG369" s="2382"/>
      <c r="AH369" s="2382"/>
      <c r="AI369" s="2382"/>
      <c r="AJ369" s="2382"/>
      <c r="AK369" s="163"/>
      <c r="AL369" s="163"/>
      <c r="AM369" s="163"/>
      <c r="AN369" s="439"/>
      <c r="AO369" s="1171"/>
      <c r="AP369" s="1172"/>
    </row>
    <row r="370" spans="1:153" s="46" customFormat="1" ht="68.099999999999994" customHeight="1">
      <c r="A370" s="163"/>
      <c r="B370" s="144"/>
      <c r="C370" s="2382"/>
      <c r="D370" s="2382"/>
      <c r="E370" s="2382"/>
      <c r="F370" s="2382"/>
      <c r="G370" s="2382"/>
      <c r="H370" s="2382"/>
      <c r="I370" s="2382"/>
      <c r="J370" s="2382"/>
      <c r="K370" s="2382"/>
      <c r="L370" s="2382"/>
      <c r="M370" s="2382"/>
      <c r="N370" s="2382"/>
      <c r="O370" s="2382"/>
      <c r="P370" s="2382"/>
      <c r="Q370" s="2382"/>
      <c r="R370" s="2382"/>
      <c r="S370" s="2382"/>
      <c r="T370" s="2382"/>
      <c r="U370" s="2382"/>
      <c r="V370" s="2382"/>
      <c r="W370" s="2382"/>
      <c r="X370" s="2382"/>
      <c r="Y370" s="2382"/>
      <c r="Z370" s="2382"/>
      <c r="AA370" s="2382"/>
      <c r="AB370" s="2382"/>
      <c r="AC370" s="2382"/>
      <c r="AD370" s="2382"/>
      <c r="AE370" s="2382"/>
      <c r="AF370" s="2382"/>
      <c r="AG370" s="2382"/>
      <c r="AH370" s="2382"/>
      <c r="AI370" s="2382"/>
      <c r="AJ370" s="2382"/>
      <c r="AK370" s="163"/>
      <c r="AL370" s="163"/>
      <c r="AM370" s="163"/>
      <c r="AN370" s="439"/>
      <c r="AO370" s="1173" t="s">
        <v>676</v>
      </c>
      <c r="AP370" s="1174">
        <f>SUM(AP356:AP369)</f>
        <v>10</v>
      </c>
      <c r="AQ370" s="2561">
        <f>IF(AP370&gt;0,AP370,0)</f>
        <v>10</v>
      </c>
      <c r="AR370" s="2561"/>
    </row>
    <row r="371" spans="1:153" s="46" customFormat="1" ht="12.6" customHeight="1">
      <c r="A371" s="163"/>
      <c r="B371" s="144"/>
      <c r="C371" s="435" t="s">
        <v>1672</v>
      </c>
      <c r="AF371" s="163"/>
      <c r="AG371" s="163"/>
      <c r="AH371" s="163"/>
      <c r="AI371" s="163"/>
      <c r="AJ371" s="163"/>
      <c r="AK371" s="163"/>
      <c r="AL371" s="163"/>
      <c r="AM371" s="163"/>
      <c r="AN371" s="439"/>
      <c r="AO371" s="1169" t="s">
        <v>810</v>
      </c>
      <c r="AP371" s="1170">
        <f>IF(C434="Yes",5,0)</f>
        <v>0</v>
      </c>
    </row>
    <row r="372" spans="1:153" s="46" customFormat="1" ht="12.75" customHeight="1">
      <c r="A372" s="163"/>
      <c r="B372" s="144"/>
      <c r="C372" s="1175" t="s">
        <v>2217</v>
      </c>
      <c r="D372" s="1176"/>
      <c r="E372" s="1176"/>
      <c r="F372" s="1176"/>
      <c r="G372" s="1176"/>
      <c r="H372" s="1176"/>
      <c r="I372" s="1176"/>
      <c r="J372" s="1176"/>
      <c r="K372" s="1176"/>
      <c r="L372" s="1176"/>
      <c r="M372" s="342"/>
      <c r="N372" s="342"/>
      <c r="O372" s="1177"/>
      <c r="P372" s="1176"/>
      <c r="Q372" s="1176"/>
      <c r="R372" s="342"/>
      <c r="S372" s="342"/>
      <c r="T372" s="1176"/>
      <c r="U372" s="2566">
        <f>'Service Amenities Budget'!J10</f>
        <v>38</v>
      </c>
      <c r="V372" s="2566"/>
      <c r="W372" s="2566"/>
      <c r="X372" s="1176"/>
      <c r="Y372" s="1176"/>
      <c r="Z372" s="1176"/>
      <c r="AA372" s="1178"/>
      <c r="AB372" s="434"/>
      <c r="AC372" s="434"/>
      <c r="AD372" s="434"/>
      <c r="AE372" s="163"/>
      <c r="AF372" s="163"/>
      <c r="AG372" s="163"/>
      <c r="AH372" s="163"/>
      <c r="AI372" s="163"/>
      <c r="AJ372" s="163"/>
      <c r="AK372" s="163"/>
      <c r="AL372" s="163"/>
      <c r="AM372" s="163"/>
      <c r="AN372" s="439"/>
      <c r="AO372" s="439"/>
      <c r="AP372" s="1170"/>
    </row>
    <row r="373" spans="1:153" s="46" customFormat="1" ht="12.75" customHeight="1">
      <c r="A373" s="163"/>
      <c r="B373" s="144"/>
      <c r="C373" s="1181" t="s">
        <v>2011</v>
      </c>
      <c r="D373" s="1179"/>
      <c r="E373" s="1179"/>
      <c r="F373" s="1179"/>
      <c r="G373" s="1179"/>
      <c r="H373" s="1179"/>
      <c r="I373" s="1179"/>
      <c r="J373" s="1179"/>
      <c r="K373" s="1179"/>
      <c r="L373" s="1179"/>
      <c r="M373" s="257"/>
      <c r="N373" s="257"/>
      <c r="O373" s="1179"/>
      <c r="P373" s="1179"/>
      <c r="Q373" s="1179"/>
      <c r="R373" s="1179"/>
      <c r="S373" s="1179"/>
      <c r="T373" s="1179"/>
      <c r="U373" s="2567">
        <f>'Service Amenities Budget'!J9</f>
        <v>20</v>
      </c>
      <c r="V373" s="2567"/>
      <c r="W373" s="2567"/>
      <c r="X373" s="1179"/>
      <c r="Y373" s="1179"/>
      <c r="Z373" s="1179"/>
      <c r="AA373" s="1180"/>
      <c r="AB373" s="435"/>
      <c r="AC373" s="433"/>
      <c r="AD373" s="433"/>
      <c r="AE373" s="163"/>
      <c r="AF373" s="163"/>
      <c r="AG373" s="163"/>
      <c r="AH373" s="163"/>
      <c r="AI373" s="163"/>
      <c r="AJ373" s="163"/>
      <c r="AK373" s="163"/>
      <c r="AL373" s="163"/>
      <c r="AM373" s="163"/>
      <c r="AN373" s="439"/>
      <c r="AO373" s="1169" t="s">
        <v>811</v>
      </c>
      <c r="AP373" s="1170">
        <f>IF(C446="Yes",5,0)</f>
        <v>5</v>
      </c>
    </row>
    <row r="374" spans="1:153" s="137" customFormat="1" ht="12.75" customHeight="1">
      <c r="A374" s="163"/>
      <c r="B374" s="144"/>
      <c r="C374" s="435" t="s">
        <v>735</v>
      </c>
      <c r="D374" s="435"/>
      <c r="E374" s="435"/>
      <c r="F374" s="435"/>
      <c r="G374" s="435"/>
      <c r="H374" s="435"/>
      <c r="I374" s="435"/>
      <c r="J374" s="435"/>
      <c r="K374" s="435"/>
      <c r="L374" s="435"/>
      <c r="M374" s="435"/>
      <c r="N374" s="435"/>
      <c r="O374" s="435"/>
      <c r="P374" s="435"/>
      <c r="Q374" s="435"/>
      <c r="R374" s="435"/>
      <c r="S374" s="435"/>
      <c r="T374" s="435"/>
      <c r="U374" s="435"/>
      <c r="V374" s="435"/>
      <c r="W374" s="435"/>
      <c r="X374" s="435"/>
      <c r="Y374" s="435"/>
      <c r="Z374" s="435"/>
      <c r="AA374" s="435"/>
      <c r="AB374" s="435"/>
      <c r="AC374" s="163"/>
      <c r="AD374" s="163"/>
      <c r="AE374" s="163"/>
      <c r="AF374" s="163"/>
      <c r="AG374" s="163"/>
      <c r="AH374" s="163"/>
      <c r="AI374" s="163"/>
      <c r="AJ374" s="163"/>
      <c r="AK374" s="163"/>
      <c r="AL374" s="163"/>
      <c r="AM374" s="163"/>
      <c r="AN374" s="1140"/>
      <c r="AO374" s="439"/>
      <c r="AP374" s="1170"/>
    </row>
    <row r="375" spans="1:153" s="46" customFormat="1" ht="12.75" customHeight="1">
      <c r="A375" s="163"/>
      <c r="B375" s="144"/>
      <c r="C375" s="435"/>
      <c r="D375" s="435"/>
      <c r="E375" s="435"/>
      <c r="F375" s="435"/>
      <c r="G375" s="435"/>
      <c r="H375" s="435"/>
      <c r="I375" s="435"/>
      <c r="J375" s="435"/>
      <c r="K375" s="435"/>
      <c r="L375" s="435"/>
      <c r="M375" s="435"/>
      <c r="N375" s="435"/>
      <c r="O375" s="435"/>
      <c r="P375" s="435"/>
      <c r="Q375" s="435"/>
      <c r="R375" s="435"/>
      <c r="S375" s="435"/>
      <c r="T375" s="435"/>
      <c r="U375" s="435"/>
      <c r="V375" s="435"/>
      <c r="W375" s="435"/>
      <c r="X375" s="435"/>
      <c r="Y375" s="435"/>
      <c r="Z375" s="435"/>
      <c r="AA375" s="435"/>
      <c r="AB375" s="435"/>
      <c r="AC375" s="163"/>
      <c r="AD375" s="163"/>
      <c r="AE375" s="163"/>
      <c r="AF375" s="163"/>
      <c r="AG375" s="163"/>
      <c r="AH375" s="163"/>
      <c r="AI375" s="163"/>
      <c r="AJ375" s="163"/>
      <c r="AK375" s="163"/>
      <c r="AL375" s="163"/>
      <c r="AM375" s="163"/>
      <c r="AN375" s="439"/>
      <c r="AO375" s="1169" t="s">
        <v>606</v>
      </c>
      <c r="AP375" s="1170">
        <f>IF(C453="Yes",5,0)</f>
        <v>5</v>
      </c>
      <c r="BS375" s="132"/>
      <c r="BT375" s="132"/>
      <c r="BU375" s="65"/>
      <c r="BV375" s="65"/>
      <c r="BW375" s="65"/>
      <c r="DI375" s="16"/>
      <c r="DJ375" s="16"/>
      <c r="DK375" s="16"/>
      <c r="ED375" s="16"/>
      <c r="EE375" s="16"/>
      <c r="EF375" s="16"/>
      <c r="EG375" s="16"/>
      <c r="EH375" s="16"/>
      <c r="EI375" s="16"/>
      <c r="EJ375" s="16"/>
      <c r="EK375" s="16"/>
      <c r="EL375" s="16"/>
      <c r="EM375" s="16"/>
      <c r="EN375" s="16"/>
      <c r="EO375" s="16"/>
      <c r="EP375" s="16"/>
      <c r="EQ375" s="16"/>
      <c r="ER375" s="16"/>
      <c r="ES375" s="16"/>
      <c r="ET375" s="16"/>
      <c r="EU375" s="16"/>
      <c r="EV375" s="16"/>
      <c r="EW375" s="16"/>
    </row>
    <row r="376" spans="1:153" s="46" customFormat="1" ht="12.75" customHeight="1">
      <c r="A376" s="163"/>
      <c r="B376" s="65"/>
      <c r="C376" s="555" t="s">
        <v>2218</v>
      </c>
      <c r="D376" s="163"/>
      <c r="E376" s="163"/>
      <c r="F376" s="163"/>
      <c r="G376" s="163"/>
      <c r="H376" s="163"/>
      <c r="I376" s="163"/>
      <c r="J376" s="163"/>
      <c r="K376" s="163"/>
      <c r="L376" s="163"/>
      <c r="M376" s="163"/>
      <c r="N376" s="163"/>
      <c r="O376" s="163"/>
      <c r="P376" s="163"/>
      <c r="Q376" s="163"/>
      <c r="R376" s="163"/>
      <c r="S376" s="163"/>
      <c r="T376" s="163"/>
      <c r="U376" s="163"/>
      <c r="V376" s="163"/>
      <c r="W376" s="163"/>
      <c r="X376" s="163"/>
      <c r="Y376" s="163"/>
      <c r="Z376" s="163"/>
      <c r="AA376" s="163"/>
      <c r="AB376" s="163"/>
      <c r="AC376" s="163"/>
      <c r="AD376" s="163"/>
      <c r="AE376" s="163"/>
      <c r="AF376" s="163"/>
      <c r="AG376" s="163"/>
      <c r="AH376" s="163"/>
      <c r="AI376" s="163"/>
      <c r="AJ376" s="163"/>
      <c r="AK376" s="163"/>
      <c r="AL376" s="163"/>
      <c r="AM376" s="163"/>
      <c r="AN376" s="439"/>
      <c r="AO376" s="1140"/>
      <c r="AP376" s="1170"/>
      <c r="BS376" s="132"/>
      <c r="BT376" s="132"/>
      <c r="BU376" s="65"/>
      <c r="BV376" s="65"/>
      <c r="BW376" s="65"/>
      <c r="DI376" s="16"/>
      <c r="DJ376" s="16"/>
      <c r="DK376" s="16"/>
      <c r="ED376" s="16"/>
      <c r="EE376" s="16"/>
      <c r="EF376" s="16"/>
      <c r="EG376" s="16"/>
      <c r="EH376" s="16"/>
      <c r="EI376" s="16"/>
      <c r="EJ376" s="16"/>
      <c r="EK376" s="16"/>
      <c r="EL376" s="16"/>
      <c r="EM376" s="16"/>
      <c r="EN376" s="16"/>
      <c r="EO376" s="16"/>
      <c r="EP376" s="16"/>
      <c r="EQ376" s="16"/>
      <c r="ER376" s="16"/>
      <c r="ES376" s="16"/>
      <c r="ET376" s="16"/>
      <c r="EU376" s="16"/>
      <c r="EV376" s="16"/>
      <c r="EW376" s="16"/>
    </row>
    <row r="377" spans="1:153" s="46" customFormat="1" ht="12.75" customHeight="1">
      <c r="A377" s="8"/>
      <c r="B377" s="65"/>
      <c r="C377" s="1186"/>
      <c r="D377" s="1187"/>
      <c r="E377" s="1188" t="s">
        <v>795</v>
      </c>
      <c r="F377" s="2349" t="s">
        <v>2021</v>
      </c>
      <c r="G377" s="2349"/>
      <c r="H377" s="2349"/>
      <c r="I377" s="2349"/>
      <c r="J377" s="2349"/>
      <c r="K377" s="2349"/>
      <c r="L377" s="2349"/>
      <c r="M377" s="2349"/>
      <c r="N377" s="2349"/>
      <c r="O377" s="2349"/>
      <c r="P377" s="2349"/>
      <c r="Q377" s="2349"/>
      <c r="R377" s="2349"/>
      <c r="S377" s="2349"/>
      <c r="T377" s="2349"/>
      <c r="U377" s="2349"/>
      <c r="V377" s="2349"/>
      <c r="W377" s="2349"/>
      <c r="X377" s="2349"/>
      <c r="Y377" s="2349"/>
      <c r="Z377" s="2349"/>
      <c r="AA377" s="2349"/>
      <c r="AB377" s="2349"/>
      <c r="AC377" s="2349"/>
      <c r="AD377" s="2349"/>
      <c r="AE377" s="2349"/>
      <c r="AF377" s="2349"/>
      <c r="AG377" s="1330"/>
      <c r="AH377" s="1330"/>
      <c r="AI377" s="1330"/>
      <c r="AJ377" s="1330"/>
      <c r="AK377" s="1330"/>
      <c r="AL377" s="1325"/>
      <c r="AM377" s="16"/>
      <c r="AN377" s="439"/>
      <c r="AO377" s="439"/>
      <c r="AP377" s="1170"/>
      <c r="BS377" s="132"/>
      <c r="BT377" s="132"/>
      <c r="BU377" s="65"/>
      <c r="BV377" s="65"/>
      <c r="BW377" s="65"/>
      <c r="BX377" s="65"/>
      <c r="BY377" s="65"/>
      <c r="BZ377" s="65"/>
      <c r="CA377" s="65"/>
      <c r="CB377" s="65"/>
      <c r="CC377" s="65"/>
      <c r="CD377" s="65"/>
      <c r="CE377" s="65"/>
      <c r="CF377" s="65"/>
      <c r="CG377" s="65"/>
      <c r="CH377" s="65"/>
      <c r="CI377" s="16"/>
      <c r="CJ377" s="16"/>
      <c r="CK377" s="16"/>
      <c r="CL377" s="16"/>
      <c r="CM377" s="16"/>
      <c r="CN377" s="16"/>
      <c r="CO377" s="16"/>
      <c r="DA377" s="16"/>
      <c r="DB377" s="16"/>
      <c r="DC377" s="16"/>
      <c r="DD377" s="16"/>
      <c r="DE377" s="16"/>
      <c r="DF377" s="16"/>
      <c r="DG377" s="16"/>
      <c r="DH377" s="16"/>
      <c r="DI377" s="16"/>
      <c r="DJ377" s="16"/>
      <c r="DK377" s="16"/>
      <c r="DL377" s="16"/>
      <c r="DM377" s="16"/>
      <c r="DN377" s="16"/>
      <c r="DO377" s="16"/>
      <c r="DP377" s="16"/>
      <c r="DQ377" s="16"/>
      <c r="DR377" s="16"/>
      <c r="DS377" s="16"/>
      <c r="DT377" s="16"/>
      <c r="DU377" s="16"/>
      <c r="DV377" s="16"/>
      <c r="DW377" s="16"/>
      <c r="DX377" s="16"/>
      <c r="DY377" s="16"/>
      <c r="DZ377" s="16"/>
      <c r="EA377" s="16"/>
      <c r="EB377" s="16"/>
      <c r="EC377" s="16"/>
      <c r="ED377" s="16"/>
      <c r="EE377" s="16"/>
      <c r="EF377" s="16"/>
      <c r="EG377" s="16"/>
      <c r="EH377" s="16"/>
      <c r="EI377" s="16"/>
      <c r="EJ377" s="16"/>
      <c r="EK377" s="16"/>
      <c r="EL377" s="16"/>
      <c r="EM377" s="16"/>
      <c r="EN377" s="16"/>
      <c r="EO377" s="16"/>
      <c r="EP377" s="16"/>
      <c r="EQ377" s="16"/>
      <c r="ER377" s="16"/>
      <c r="ES377" s="16"/>
      <c r="ET377" s="16"/>
      <c r="EU377" s="16"/>
      <c r="EV377" s="16"/>
      <c r="EW377" s="16"/>
    </row>
    <row r="378" spans="1:153" s="46" customFormat="1" ht="12.75" customHeight="1">
      <c r="A378" s="8"/>
      <c r="B378" s="65"/>
      <c r="C378" s="1189"/>
      <c r="D378" s="71"/>
      <c r="E378" s="350"/>
      <c r="F378" s="2350"/>
      <c r="G378" s="2350"/>
      <c r="H378" s="2350"/>
      <c r="I378" s="2350"/>
      <c r="J378" s="2350"/>
      <c r="K378" s="2350"/>
      <c r="L378" s="2350"/>
      <c r="M378" s="2350"/>
      <c r="N378" s="2350"/>
      <c r="O378" s="2350"/>
      <c r="P378" s="2350"/>
      <c r="Q378" s="2350"/>
      <c r="R378" s="2350"/>
      <c r="S378" s="2350"/>
      <c r="T378" s="2350"/>
      <c r="U378" s="2350"/>
      <c r="V378" s="2350"/>
      <c r="W378" s="2350"/>
      <c r="X378" s="2350"/>
      <c r="Y378" s="2350"/>
      <c r="Z378" s="2350"/>
      <c r="AA378" s="2350"/>
      <c r="AB378" s="2350"/>
      <c r="AC378" s="2350"/>
      <c r="AD378" s="2350"/>
      <c r="AE378" s="2350"/>
      <c r="AF378" s="2350"/>
      <c r="AG378" s="681"/>
      <c r="AH378" s="681"/>
      <c r="AI378" s="681"/>
      <c r="AJ378" s="681"/>
      <c r="AK378" s="681"/>
      <c r="AL378" s="1391"/>
      <c r="AM378" s="16"/>
      <c r="AN378" s="439"/>
      <c r="AO378" s="1169" t="s">
        <v>191</v>
      </c>
      <c r="AP378" s="1170">
        <f>IF(C457="Yes",5,0)</f>
        <v>5</v>
      </c>
      <c r="BS378" s="132"/>
      <c r="BT378" s="132"/>
      <c r="BU378" s="65"/>
      <c r="BV378" s="65"/>
      <c r="BW378" s="65"/>
      <c r="BX378" s="65"/>
      <c r="BY378" s="65"/>
      <c r="BZ378" s="65"/>
      <c r="CA378" s="65"/>
      <c r="CB378" s="65"/>
      <c r="CC378" s="65"/>
      <c r="CD378" s="65"/>
      <c r="CE378" s="65"/>
      <c r="CF378" s="65"/>
      <c r="CG378" s="65"/>
      <c r="CH378" s="65"/>
      <c r="CI378" s="16"/>
      <c r="CJ378" s="16"/>
      <c r="CK378" s="16"/>
      <c r="CL378" s="16"/>
      <c r="CM378" s="16"/>
      <c r="CN378" s="16"/>
      <c r="CO378" s="16"/>
      <c r="DH378" s="16"/>
      <c r="DI378" s="16"/>
      <c r="DJ378" s="16"/>
      <c r="DK378" s="16"/>
      <c r="DL378" s="16"/>
      <c r="DW378" s="16"/>
      <c r="DX378" s="16"/>
      <c r="DY378" s="16"/>
      <c r="DZ378" s="16"/>
      <c r="EA378" s="16"/>
      <c r="EB378" s="16"/>
      <c r="EC378" s="16"/>
      <c r="ED378" s="16"/>
      <c r="EE378" s="16"/>
      <c r="EF378" s="16"/>
      <c r="EG378" s="16"/>
      <c r="EH378" s="16"/>
      <c r="EI378" s="16"/>
      <c r="EJ378" s="16"/>
      <c r="EK378" s="16"/>
      <c r="EL378" s="16"/>
      <c r="EM378" s="16"/>
      <c r="EN378" s="16"/>
      <c r="EO378" s="16"/>
      <c r="EP378" s="16"/>
      <c r="EQ378" s="16"/>
      <c r="ER378" s="16"/>
      <c r="ES378" s="16"/>
      <c r="ET378" s="16"/>
      <c r="EU378" s="16"/>
      <c r="EV378" s="16"/>
      <c r="EW378" s="16"/>
    </row>
    <row r="379" spans="1:153" s="46" customFormat="1" ht="12.75" customHeight="1">
      <c r="A379" s="8"/>
      <c r="B379" s="65"/>
      <c r="C379" s="1189"/>
      <c r="D379" s="71"/>
      <c r="E379" s="350"/>
      <c r="F379" s="2350"/>
      <c r="G379" s="2350"/>
      <c r="H379" s="2350"/>
      <c r="I379" s="2350"/>
      <c r="J379" s="2350"/>
      <c r="K379" s="2350"/>
      <c r="L379" s="2350"/>
      <c r="M379" s="2350"/>
      <c r="N379" s="2350"/>
      <c r="O379" s="2350"/>
      <c r="P379" s="2350"/>
      <c r="Q379" s="2350"/>
      <c r="R379" s="2350"/>
      <c r="S379" s="2350"/>
      <c r="T379" s="2350"/>
      <c r="U379" s="2350"/>
      <c r="V379" s="2350"/>
      <c r="W379" s="2350"/>
      <c r="X379" s="2350"/>
      <c r="Y379" s="2350"/>
      <c r="Z379" s="2350"/>
      <c r="AA379" s="2350"/>
      <c r="AB379" s="2350"/>
      <c r="AC379" s="2350"/>
      <c r="AD379" s="2350"/>
      <c r="AE379" s="2350"/>
      <c r="AF379" s="2350"/>
      <c r="AG379" s="681"/>
      <c r="AH379" s="681"/>
      <c r="AI379" s="681"/>
      <c r="AJ379" s="681"/>
      <c r="AK379" s="681"/>
      <c r="AL379" s="1391"/>
      <c r="AM379" s="16"/>
      <c r="AN379" s="439"/>
      <c r="AO379" s="1169" t="s">
        <v>37</v>
      </c>
      <c r="AP379" s="1170">
        <f>IF(C461="Yes",5,0)</f>
        <v>0</v>
      </c>
      <c r="BS379" s="132"/>
      <c r="BT379" s="132"/>
      <c r="BU379" s="65"/>
      <c r="BV379" s="65"/>
      <c r="BW379" s="65"/>
      <c r="BX379" s="65"/>
      <c r="BY379" s="65"/>
      <c r="BZ379" s="65"/>
      <c r="CA379" s="65"/>
      <c r="CB379" s="65"/>
      <c r="CC379" s="65"/>
      <c r="CD379" s="65"/>
      <c r="CE379" s="65"/>
      <c r="CF379" s="65"/>
      <c r="CG379" s="65"/>
      <c r="CH379" s="65"/>
      <c r="CI379" s="16"/>
      <c r="CJ379" s="16"/>
      <c r="CK379" s="16"/>
      <c r="CL379" s="16"/>
      <c r="CM379" s="16"/>
      <c r="CN379" s="16"/>
      <c r="CO379" s="16"/>
      <c r="DH379" s="16"/>
      <c r="DI379" s="16"/>
      <c r="DJ379" s="16"/>
      <c r="DK379" s="16"/>
      <c r="DL379" s="16"/>
      <c r="DM379" s="16"/>
      <c r="DN379" s="16"/>
      <c r="DO379" s="16"/>
      <c r="DP379" s="16"/>
      <c r="DQ379" s="16"/>
      <c r="DR379" s="16"/>
      <c r="DS379" s="16"/>
      <c r="DT379" s="16"/>
      <c r="DU379" s="16"/>
      <c r="DV379" s="16"/>
      <c r="DW379" s="16"/>
      <c r="EG379" s="16"/>
      <c r="EH379" s="16"/>
      <c r="EI379" s="16"/>
      <c r="EJ379" s="16"/>
      <c r="EK379" s="16"/>
      <c r="EL379" s="16"/>
      <c r="EM379" s="16"/>
      <c r="EN379" s="16"/>
      <c r="EO379" s="16"/>
      <c r="EP379" s="16"/>
      <c r="EQ379" s="16"/>
      <c r="ER379" s="16"/>
      <c r="ES379" s="16"/>
      <c r="ET379" s="16"/>
      <c r="EU379" s="16"/>
      <c r="EV379" s="16"/>
      <c r="EW379" s="16"/>
    </row>
    <row r="380" spans="1:153" s="46" customFormat="1" ht="12.75" customHeight="1">
      <c r="A380" s="8"/>
      <c r="B380" s="65"/>
      <c r="C380" s="1189"/>
      <c r="D380" s="71"/>
      <c r="E380" s="350"/>
      <c r="F380" s="2350"/>
      <c r="G380" s="2350"/>
      <c r="H380" s="2350"/>
      <c r="I380" s="2350"/>
      <c r="J380" s="2350"/>
      <c r="K380" s="2350"/>
      <c r="L380" s="2350"/>
      <c r="M380" s="2350"/>
      <c r="N380" s="2350"/>
      <c r="O380" s="2350"/>
      <c r="P380" s="2350"/>
      <c r="Q380" s="2350"/>
      <c r="R380" s="2350"/>
      <c r="S380" s="2350"/>
      <c r="T380" s="2350"/>
      <c r="U380" s="2350"/>
      <c r="V380" s="2350"/>
      <c r="W380" s="2350"/>
      <c r="X380" s="2350"/>
      <c r="Y380" s="2350"/>
      <c r="Z380" s="2350"/>
      <c r="AA380" s="2350"/>
      <c r="AB380" s="2350"/>
      <c r="AC380" s="2350"/>
      <c r="AD380" s="2350"/>
      <c r="AE380" s="2350"/>
      <c r="AF380" s="2350"/>
      <c r="AG380" s="681"/>
      <c r="AH380" s="681"/>
      <c r="AI380" s="681"/>
      <c r="AJ380" s="681"/>
      <c r="AK380" s="681"/>
      <c r="AL380" s="1391"/>
      <c r="AM380" s="16"/>
      <c r="AN380" s="439"/>
      <c r="AO380" s="1169" t="s">
        <v>38</v>
      </c>
      <c r="AP380" s="1170">
        <f>IF(C470="Yes",5,0)</f>
        <v>0</v>
      </c>
      <c r="BS380" s="132"/>
      <c r="BT380" s="132"/>
      <c r="BU380" s="65"/>
      <c r="BV380" s="65"/>
      <c r="BW380" s="65"/>
      <c r="BX380" s="65"/>
      <c r="BY380" s="65"/>
      <c r="BZ380" s="65"/>
      <c r="CA380" s="65"/>
      <c r="CB380" s="65"/>
      <c r="CC380" s="65"/>
      <c r="CD380" s="65"/>
      <c r="CE380" s="65"/>
      <c r="CF380" s="65"/>
      <c r="CG380" s="65"/>
      <c r="CH380" s="65"/>
      <c r="CI380" s="68"/>
      <c r="CJ380" s="16"/>
      <c r="CK380" s="16"/>
      <c r="CL380" s="16"/>
      <c r="CM380" s="16"/>
      <c r="CN380" s="16"/>
      <c r="CO380" s="16"/>
      <c r="DH380" s="16"/>
      <c r="DI380" s="16"/>
      <c r="DJ380" s="16"/>
      <c r="DK380" s="16"/>
      <c r="DL380" s="16"/>
      <c r="DM380" s="16"/>
      <c r="DN380" s="16"/>
      <c r="DO380" s="16"/>
      <c r="DP380" s="16"/>
      <c r="DQ380" s="16"/>
      <c r="DR380" s="16"/>
      <c r="DS380" s="16"/>
      <c r="DT380" s="16"/>
      <c r="DU380" s="16"/>
      <c r="DV380" s="16"/>
      <c r="DW380" s="16"/>
      <c r="DX380" s="16"/>
      <c r="DY380" s="16"/>
      <c r="DZ380" s="16"/>
      <c r="EA380" s="16"/>
      <c r="EB380" s="16"/>
      <c r="EC380" s="16"/>
      <c r="ED380" s="16"/>
      <c r="EE380" s="16"/>
      <c r="EF380" s="16"/>
      <c r="EG380" s="16"/>
      <c r="EH380" s="16"/>
      <c r="EI380" s="16"/>
      <c r="EJ380" s="16"/>
      <c r="EK380" s="16"/>
      <c r="EL380" s="16"/>
      <c r="EM380" s="16"/>
      <c r="EN380" s="16"/>
      <c r="EO380" s="16"/>
      <c r="EP380" s="16"/>
      <c r="EQ380" s="16"/>
      <c r="ER380" s="16"/>
      <c r="ES380" s="16"/>
      <c r="ET380" s="16"/>
      <c r="EU380" s="16"/>
      <c r="EV380" s="16"/>
      <c r="EW380" s="16"/>
    </row>
    <row r="381" spans="1:153" s="46" customFormat="1" ht="12.75" customHeight="1">
      <c r="A381" s="8"/>
      <c r="B381" s="65"/>
      <c r="C381" s="2331" t="s">
        <v>119</v>
      </c>
      <c r="D381" s="1786"/>
      <c r="E381" s="350"/>
      <c r="F381" s="1184" t="s">
        <v>2013</v>
      </c>
      <c r="G381" s="1185"/>
      <c r="H381" s="1185"/>
      <c r="I381" s="1185"/>
      <c r="J381" s="1185"/>
      <c r="K381" s="1185"/>
      <c r="L381" s="1185"/>
      <c r="M381" s="1185"/>
      <c r="N381" s="1185"/>
      <c r="O381" s="1185"/>
      <c r="P381" s="1185"/>
      <c r="Q381" s="1185"/>
      <c r="R381" s="1185"/>
      <c r="S381" s="1185"/>
      <c r="T381" s="1185"/>
      <c r="U381" s="1185"/>
      <c r="V381" s="1185"/>
      <c r="W381" s="1185"/>
      <c r="X381" s="1185"/>
      <c r="Y381" s="1185"/>
      <c r="Z381" s="1185"/>
      <c r="AA381" s="1185"/>
      <c r="AB381" s="1185"/>
      <c r="AC381" s="1185"/>
      <c r="AD381" s="1185"/>
      <c r="AE381" s="162"/>
      <c r="AF381" s="2036" t="s">
        <v>355</v>
      </c>
      <c r="AG381" s="2036"/>
      <c r="AH381" s="2036"/>
      <c r="AI381" s="2036"/>
      <c r="AJ381" s="2036"/>
      <c r="AK381" s="2036"/>
      <c r="AL381" s="2343"/>
      <c r="AM381" s="1423"/>
      <c r="AO381" s="439"/>
      <c r="AP381" s="1170"/>
      <c r="BS381" s="132"/>
      <c r="BT381" s="132"/>
      <c r="BU381" s="65"/>
      <c r="BV381" s="65"/>
      <c r="BW381" s="65"/>
      <c r="BX381" s="65"/>
      <c r="BY381" s="65"/>
      <c r="BZ381" s="65"/>
      <c r="CA381" s="65"/>
      <c r="CB381" s="65"/>
      <c r="CC381" s="65"/>
      <c r="CD381" s="65"/>
      <c r="CE381" s="65"/>
      <c r="CF381" s="65"/>
      <c r="CG381" s="65"/>
      <c r="CH381" s="65"/>
      <c r="CI381" s="68"/>
      <c r="CJ381" s="16"/>
      <c r="CK381" s="16"/>
      <c r="CL381" s="16"/>
      <c r="CM381" s="16"/>
      <c r="CN381" s="16"/>
      <c r="CO381" s="16"/>
      <c r="CP381" s="16"/>
      <c r="CQ381" s="16"/>
      <c r="CR381" s="16"/>
      <c r="CS381" s="16"/>
      <c r="CT381" s="16"/>
      <c r="CU381" s="16"/>
      <c r="CV381" s="16"/>
      <c r="CW381" s="16"/>
      <c r="CX381" s="16"/>
      <c r="CY381" s="16"/>
      <c r="CZ381" s="16"/>
      <c r="DA381" s="16"/>
      <c r="DB381" s="16"/>
      <c r="DC381" s="16"/>
      <c r="DD381" s="16"/>
      <c r="DE381" s="16"/>
      <c r="DF381" s="16"/>
      <c r="DG381" s="16"/>
      <c r="DH381" s="16"/>
      <c r="DI381" s="16"/>
      <c r="DJ381" s="16"/>
      <c r="DK381" s="16"/>
      <c r="DL381" s="16"/>
      <c r="DM381" s="16"/>
      <c r="DN381" s="16"/>
      <c r="DO381" s="16"/>
      <c r="EA381" s="16"/>
      <c r="EB381" s="16"/>
      <c r="EC381" s="16"/>
      <c r="ED381" s="16"/>
      <c r="EE381" s="16"/>
      <c r="EF381" s="16"/>
      <c r="EG381" s="16"/>
      <c r="EH381" s="16"/>
      <c r="EI381" s="16"/>
      <c r="EJ381" s="16"/>
      <c r="EK381" s="16"/>
      <c r="EL381" s="16"/>
      <c r="EM381" s="16"/>
      <c r="EN381" s="16"/>
      <c r="EO381" s="16"/>
      <c r="EP381" s="16"/>
      <c r="EQ381" s="16"/>
      <c r="ER381" s="16"/>
      <c r="ES381" s="16"/>
      <c r="ET381" s="16"/>
      <c r="EU381" s="16"/>
      <c r="EV381" s="16"/>
      <c r="EW381" s="16"/>
    </row>
    <row r="382" spans="1:153" s="46" customFormat="1" ht="12.75" customHeight="1">
      <c r="A382" s="8"/>
      <c r="B382" s="65"/>
      <c r="C382" s="1425"/>
      <c r="D382" s="1203"/>
      <c r="E382" s="1192"/>
      <c r="F382" s="1389"/>
      <c r="G382" s="1389"/>
      <c r="H382" s="1389"/>
      <c r="I382" s="1389"/>
      <c r="J382" s="1389"/>
      <c r="K382" s="1389"/>
      <c r="L382" s="1389"/>
      <c r="M382" s="1389"/>
      <c r="N382" s="1389"/>
      <c r="O382" s="1389"/>
      <c r="P382" s="1389"/>
      <c r="Q382" s="1389"/>
      <c r="R382" s="1389"/>
      <c r="S382" s="1389"/>
      <c r="T382" s="1389"/>
      <c r="U382" s="1389"/>
      <c r="V382" s="1389"/>
      <c r="W382" s="1389"/>
      <c r="X382" s="1389"/>
      <c r="Y382" s="1389"/>
      <c r="Z382" s="1389"/>
      <c r="AA382" s="1389"/>
      <c r="AB382" s="1389"/>
      <c r="AC382" s="1389"/>
      <c r="AD382" s="1389"/>
      <c r="AE382" s="1393"/>
      <c r="AF382" s="1393"/>
      <c r="AG382" s="1393"/>
      <c r="AH382" s="1393"/>
      <c r="AI382" s="1393"/>
      <c r="AJ382" s="1393"/>
      <c r="AK382" s="1393"/>
      <c r="AL382" s="1394"/>
      <c r="AM382" s="16"/>
      <c r="AN382" s="439"/>
      <c r="AO382" s="1171"/>
      <c r="AP382" s="1172"/>
      <c r="BS382" s="132"/>
      <c r="BT382" s="132"/>
      <c r="BU382" s="65"/>
      <c r="BV382" s="65"/>
      <c r="BW382" s="65"/>
      <c r="BX382" s="65"/>
      <c r="BY382" s="65"/>
      <c r="BZ382" s="65"/>
      <c r="CA382" s="65"/>
      <c r="CB382" s="65"/>
      <c r="CC382" s="65"/>
      <c r="CD382" s="65"/>
      <c r="CE382" s="65"/>
      <c r="CF382" s="65"/>
      <c r="CG382" s="65"/>
      <c r="CH382" s="65"/>
      <c r="CI382" s="68"/>
      <c r="CJ382" s="16"/>
      <c r="CK382" s="16"/>
      <c r="CL382" s="16"/>
      <c r="CM382" s="16"/>
      <c r="CN382" s="16"/>
      <c r="CO382" s="16"/>
      <c r="DI382" s="16"/>
      <c r="DJ382" s="16"/>
      <c r="DK382" s="16"/>
      <c r="DL382" s="16"/>
      <c r="DM382" s="16"/>
      <c r="DN382" s="16"/>
      <c r="DO382" s="16"/>
      <c r="EA382" s="16"/>
      <c r="EB382" s="16"/>
      <c r="EC382" s="16"/>
      <c r="ED382" s="16"/>
      <c r="EE382" s="16"/>
      <c r="EF382" s="16"/>
      <c r="EG382" s="16"/>
      <c r="EH382" s="16"/>
      <c r="EI382" s="16"/>
      <c r="EJ382" s="16"/>
      <c r="EK382" s="16"/>
      <c r="EL382" s="16"/>
      <c r="EM382" s="16"/>
      <c r="EN382" s="16"/>
      <c r="EO382" s="16"/>
      <c r="EP382" s="16"/>
      <c r="EQ382" s="16"/>
      <c r="ER382" s="16"/>
      <c r="ES382" s="16"/>
      <c r="ET382" s="16"/>
      <c r="EU382" s="16"/>
      <c r="EV382" s="16"/>
      <c r="EW382" s="16"/>
    </row>
    <row r="383" spans="1:153" s="46" customFormat="1" ht="12.75" customHeight="1">
      <c r="A383" s="8"/>
      <c r="B383" s="65"/>
      <c r="C383" s="102"/>
      <c r="D383" s="102"/>
      <c r="E383" s="350"/>
      <c r="F383" s="1424"/>
      <c r="G383" s="163"/>
      <c r="H383" s="163"/>
      <c r="I383" s="163"/>
      <c r="J383" s="163"/>
      <c r="K383" s="163"/>
      <c r="L383" s="163"/>
      <c r="M383" s="163"/>
      <c r="N383" s="163"/>
      <c r="O383" s="163"/>
      <c r="P383" s="163"/>
      <c r="Q383" s="163"/>
      <c r="R383" s="163"/>
      <c r="S383" s="163"/>
      <c r="T383" s="163"/>
      <c r="U383" s="163"/>
      <c r="V383" s="163"/>
      <c r="W383" s="163"/>
      <c r="X383" s="163"/>
      <c r="Y383" s="163"/>
      <c r="Z383" s="163"/>
      <c r="AA383" s="163"/>
      <c r="AB383" s="163"/>
      <c r="AC383" s="163"/>
      <c r="AD383" s="163"/>
      <c r="AE383" s="153"/>
      <c r="AF383" s="152"/>
      <c r="AG383" s="152"/>
      <c r="AH383" s="152"/>
      <c r="AI383" s="152"/>
      <c r="AJ383" s="152"/>
      <c r="AK383" s="152"/>
      <c r="AL383" s="152"/>
      <c r="AM383" s="16"/>
      <c r="AN383" s="439"/>
      <c r="AO383" s="549" t="s">
        <v>676</v>
      </c>
      <c r="AP383" s="550">
        <f>SUM(AP371:AP382)</f>
        <v>15</v>
      </c>
      <c r="AQ383" s="2561">
        <f>IF(AP383&gt;0,AP383,0)</f>
        <v>15</v>
      </c>
      <c r="AR383" s="2561"/>
      <c r="BS383" s="132"/>
      <c r="BT383" s="132"/>
      <c r="BU383" s="65"/>
      <c r="BV383" s="65"/>
      <c r="BW383" s="65"/>
      <c r="BX383" s="65"/>
      <c r="BY383" s="65"/>
      <c r="BZ383" s="65"/>
      <c r="CA383" s="65"/>
      <c r="CB383" s="65"/>
      <c r="CC383" s="65"/>
      <c r="CD383" s="65"/>
      <c r="CE383" s="65"/>
      <c r="CF383" s="65"/>
      <c r="CG383" s="65"/>
      <c r="CH383" s="65"/>
      <c r="CI383" s="68"/>
      <c r="CJ383" s="16"/>
      <c r="CK383" s="16"/>
      <c r="CL383" s="16"/>
      <c r="CM383" s="16"/>
      <c r="CN383" s="16"/>
      <c r="CO383" s="16"/>
      <c r="CZ383" s="16"/>
      <c r="DA383" s="16"/>
      <c r="DB383" s="16"/>
      <c r="DC383" s="16"/>
      <c r="DD383" s="16"/>
      <c r="DE383" s="16"/>
      <c r="DF383" s="16"/>
      <c r="DG383" s="16"/>
      <c r="DH383" s="16"/>
      <c r="DI383" s="16"/>
      <c r="DJ383" s="16"/>
      <c r="DK383" s="16"/>
      <c r="DL383" s="16"/>
      <c r="DM383" s="16"/>
      <c r="DN383" s="16"/>
      <c r="DO383" s="16"/>
      <c r="EA383" s="16"/>
      <c r="EB383" s="16"/>
      <c r="EC383" s="16"/>
      <c r="ED383" s="16"/>
      <c r="EE383" s="16"/>
      <c r="EF383" s="16"/>
      <c r="EG383" s="16"/>
      <c r="EH383" s="16"/>
      <c r="EI383" s="16"/>
      <c r="EJ383" s="16"/>
      <c r="EK383" s="16"/>
      <c r="EL383" s="16"/>
      <c r="EM383" s="16"/>
      <c r="EN383" s="16"/>
      <c r="EO383" s="16"/>
      <c r="EP383" s="16"/>
      <c r="EQ383" s="16"/>
      <c r="ER383" s="16"/>
      <c r="ES383" s="16"/>
      <c r="ET383" s="16"/>
      <c r="EU383" s="16"/>
      <c r="EV383" s="16"/>
      <c r="EW383" s="16"/>
    </row>
    <row r="384" spans="1:153" s="46" customFormat="1" ht="12.75" customHeight="1">
      <c r="A384" s="8"/>
      <c r="B384" s="70"/>
      <c r="C384" s="1162"/>
      <c r="D384" s="1162"/>
      <c r="E384" s="350"/>
      <c r="F384" s="1184"/>
      <c r="G384" s="1185"/>
      <c r="H384" s="1185"/>
      <c r="I384" s="1185"/>
      <c r="J384" s="1185"/>
      <c r="K384" s="1185"/>
      <c r="L384" s="1185"/>
      <c r="M384" s="1185"/>
      <c r="N384" s="1185"/>
      <c r="O384" s="1185"/>
      <c r="P384" s="1185"/>
      <c r="Q384" s="1185"/>
      <c r="R384" s="1185"/>
      <c r="S384" s="1185"/>
      <c r="T384" s="1185"/>
      <c r="U384" s="1185"/>
      <c r="V384" s="1185"/>
      <c r="W384" s="1185"/>
      <c r="X384" s="1185"/>
      <c r="Y384" s="1185"/>
      <c r="Z384" s="1185"/>
      <c r="AA384" s="1185"/>
      <c r="AB384" s="1185"/>
      <c r="AC384" s="1185"/>
      <c r="AD384" s="1185"/>
      <c r="AL384" s="1302"/>
      <c r="AM384" s="16"/>
      <c r="AN384" s="439"/>
      <c r="CC384" s="65"/>
      <c r="CD384" s="65"/>
      <c r="CE384" s="65"/>
      <c r="CF384" s="65"/>
      <c r="CG384" s="65"/>
      <c r="CH384" s="65"/>
      <c r="CI384" s="68"/>
      <c r="CJ384" s="16"/>
      <c r="CK384" s="16"/>
      <c r="CL384" s="16"/>
      <c r="CM384" s="16"/>
      <c r="CN384" s="16"/>
      <c r="DI384" s="16"/>
      <c r="DJ384" s="16"/>
      <c r="DK384" s="16"/>
      <c r="DL384" s="16"/>
      <c r="DM384" s="16"/>
      <c r="DN384" s="16"/>
      <c r="DO384" s="16"/>
      <c r="DP384" s="16"/>
      <c r="DQ384" s="16"/>
      <c r="DR384" s="16"/>
      <c r="DS384" s="16"/>
      <c r="DT384" s="16"/>
      <c r="DU384" s="16"/>
      <c r="DV384" s="16"/>
      <c r="DW384" s="16"/>
      <c r="DX384" s="16"/>
      <c r="DY384" s="16"/>
      <c r="DZ384" s="16"/>
      <c r="EA384" s="16"/>
      <c r="EB384" s="16"/>
      <c r="EC384" s="16"/>
      <c r="ED384" s="16"/>
      <c r="EE384" s="16"/>
      <c r="EF384" s="16"/>
      <c r="EG384" s="16"/>
      <c r="EH384" s="16"/>
      <c r="EI384" s="16"/>
      <c r="EJ384" s="16"/>
      <c r="EK384" s="16"/>
      <c r="EL384" s="16"/>
      <c r="EM384" s="16"/>
      <c r="EN384" s="16"/>
      <c r="EO384" s="16"/>
      <c r="EP384" s="16"/>
      <c r="EQ384" s="16"/>
      <c r="ER384" s="16"/>
      <c r="ES384" s="16"/>
      <c r="ET384" s="16"/>
      <c r="EU384" s="16"/>
      <c r="EV384" s="16"/>
      <c r="EW384" s="16"/>
    </row>
    <row r="385" spans="1:153" s="46" customFormat="1" ht="12.75" customHeight="1">
      <c r="A385" s="8"/>
      <c r="B385" s="65"/>
      <c r="C385" s="390"/>
      <c r="D385" s="390"/>
      <c r="E385" s="350"/>
      <c r="F385" s="436"/>
      <c r="G385" s="436"/>
      <c r="H385" s="436"/>
      <c r="I385" s="436"/>
      <c r="J385" s="436"/>
      <c r="K385" s="436"/>
      <c r="L385" s="436"/>
      <c r="M385" s="436"/>
      <c r="N385" s="436"/>
      <c r="O385" s="436"/>
      <c r="P385" s="436"/>
      <c r="Q385" s="436"/>
      <c r="R385" s="436"/>
      <c r="S385" s="436"/>
      <c r="T385" s="436"/>
      <c r="U385" s="436"/>
      <c r="V385" s="436"/>
      <c r="W385" s="436"/>
      <c r="X385" s="436"/>
      <c r="Y385" s="436"/>
      <c r="Z385" s="436"/>
      <c r="AA385" s="436"/>
      <c r="AB385" s="436"/>
      <c r="AC385" s="436"/>
      <c r="AD385" s="436"/>
      <c r="AE385" s="33"/>
      <c r="AF385" s="33"/>
      <c r="AG385" s="33"/>
      <c r="AH385" s="33"/>
      <c r="AI385" s="33"/>
      <c r="AJ385" s="33"/>
      <c r="AK385" s="33"/>
      <c r="AL385" s="1305"/>
      <c r="AM385" s="16"/>
      <c r="AN385" s="439"/>
      <c r="BS385" s="132"/>
      <c r="BT385" s="132"/>
      <c r="BU385" s="65"/>
      <c r="BV385" s="65"/>
      <c r="BW385" s="65"/>
      <c r="BX385" s="65"/>
      <c r="BY385" s="65"/>
      <c r="BZ385" s="65"/>
      <c r="CA385" s="65"/>
      <c r="CB385" s="65"/>
      <c r="CC385" s="65"/>
      <c r="CD385" s="65"/>
      <c r="CE385" s="65"/>
      <c r="CF385" s="65"/>
      <c r="CG385" s="65"/>
      <c r="CH385" s="65"/>
      <c r="CI385" s="16"/>
      <c r="CJ385" s="16"/>
      <c r="CK385" s="16"/>
      <c r="CL385" s="16"/>
      <c r="CM385" s="16"/>
      <c r="CN385" s="16"/>
      <c r="DI385" s="16"/>
      <c r="DJ385" s="16"/>
      <c r="DK385" s="16"/>
      <c r="DL385" s="16"/>
      <c r="DM385" s="16"/>
      <c r="DN385" s="16"/>
      <c r="DO385" s="16"/>
      <c r="DP385" s="16"/>
      <c r="EA385" s="16"/>
      <c r="EB385" s="16"/>
      <c r="EC385" s="16"/>
      <c r="ED385" s="16"/>
      <c r="EE385" s="16"/>
      <c r="EF385" s="16"/>
      <c r="EG385" s="16"/>
      <c r="EH385" s="16"/>
      <c r="EI385" s="16"/>
      <c r="EJ385" s="16"/>
      <c r="EK385" s="16"/>
      <c r="EL385" s="16"/>
      <c r="EM385" s="16"/>
      <c r="EN385" s="16"/>
      <c r="EO385" s="16"/>
      <c r="EP385" s="16"/>
      <c r="EQ385" s="16"/>
      <c r="ER385" s="16"/>
      <c r="ES385" s="16"/>
      <c r="ET385" s="16"/>
      <c r="EU385" s="16"/>
      <c r="EV385" s="16"/>
      <c r="EW385" s="16"/>
    </row>
    <row r="386" spans="1:153" s="46" customFormat="1" ht="12.75" customHeight="1">
      <c r="A386" s="8"/>
      <c r="B386" s="65"/>
      <c r="C386" s="1186"/>
      <c r="D386" s="1187"/>
      <c r="E386" s="1188" t="s">
        <v>207</v>
      </c>
      <c r="F386" s="2349" t="s">
        <v>2020</v>
      </c>
      <c r="G386" s="2349"/>
      <c r="H386" s="2349"/>
      <c r="I386" s="2349"/>
      <c r="J386" s="2349"/>
      <c r="K386" s="2349"/>
      <c r="L386" s="2349"/>
      <c r="M386" s="2349"/>
      <c r="N386" s="2349"/>
      <c r="O386" s="2349"/>
      <c r="P386" s="2349"/>
      <c r="Q386" s="2349"/>
      <c r="R386" s="2349"/>
      <c r="S386" s="2349"/>
      <c r="T386" s="2349"/>
      <c r="U386" s="2349"/>
      <c r="V386" s="2349"/>
      <c r="W386" s="2349"/>
      <c r="X386" s="2349"/>
      <c r="Y386" s="2349"/>
      <c r="Z386" s="2349"/>
      <c r="AA386" s="2349"/>
      <c r="AB386" s="2349"/>
      <c r="AC386" s="2349"/>
      <c r="AD386" s="2349"/>
      <c r="AE386" s="2349"/>
      <c r="AF386" s="2349"/>
      <c r="AG386" s="1330"/>
      <c r="AH386" s="1330"/>
      <c r="AI386" s="1330"/>
      <c r="AJ386" s="1330"/>
      <c r="AK386" s="1330"/>
      <c r="AL386" s="1325"/>
      <c r="AM386" s="16"/>
      <c r="AN386" s="439"/>
      <c r="BS386" s="132"/>
      <c r="BT386" s="132"/>
      <c r="BU386" s="65"/>
      <c r="BV386" s="65"/>
      <c r="BW386" s="65"/>
      <c r="BX386" s="65"/>
      <c r="BY386" s="65"/>
      <c r="BZ386" s="65"/>
      <c r="CA386" s="65"/>
      <c r="CB386" s="65"/>
      <c r="CC386" s="65"/>
      <c r="CD386" s="65"/>
      <c r="CE386" s="65"/>
      <c r="CF386" s="65"/>
      <c r="CG386" s="65"/>
      <c r="CH386" s="65"/>
      <c r="CI386" s="16"/>
      <c r="CJ386" s="16"/>
      <c r="CK386" s="16"/>
      <c r="CL386" s="16"/>
      <c r="CM386" s="16"/>
      <c r="CN386" s="16"/>
      <c r="DI386" s="16"/>
      <c r="DJ386" s="16"/>
      <c r="DK386" s="16"/>
      <c r="DL386" s="16"/>
      <c r="DM386" s="16"/>
      <c r="DN386" s="16"/>
      <c r="DO386" s="16"/>
      <c r="DP386" s="16"/>
      <c r="EA386" s="16"/>
      <c r="EB386" s="16"/>
      <c r="EC386" s="16"/>
      <c r="ED386" s="16"/>
      <c r="EE386" s="16"/>
      <c r="EF386" s="16"/>
      <c r="EG386" s="16"/>
      <c r="EH386" s="16"/>
      <c r="EI386" s="16"/>
      <c r="EJ386" s="16"/>
      <c r="EK386" s="16"/>
      <c r="EL386" s="16"/>
      <c r="EM386" s="16"/>
      <c r="EN386" s="16"/>
      <c r="EO386" s="16"/>
      <c r="EP386" s="16"/>
      <c r="EQ386" s="16"/>
      <c r="ER386" s="16"/>
      <c r="ES386" s="16"/>
      <c r="ET386" s="16"/>
      <c r="EU386" s="16"/>
      <c r="EV386" s="16"/>
      <c r="EW386" s="16"/>
    </row>
    <row r="387" spans="1:153" s="46" customFormat="1" ht="12.75" customHeight="1">
      <c r="A387" s="8"/>
      <c r="B387" s="65"/>
      <c r="C387" s="1194"/>
      <c r="D387" s="125"/>
      <c r="E387" s="306"/>
      <c r="F387" s="2350"/>
      <c r="G387" s="2350"/>
      <c r="H387" s="2350"/>
      <c r="I387" s="2350"/>
      <c r="J387" s="2350"/>
      <c r="K387" s="2350"/>
      <c r="L387" s="2350"/>
      <c r="M387" s="2350"/>
      <c r="N387" s="2350"/>
      <c r="O387" s="2350"/>
      <c r="P387" s="2350"/>
      <c r="Q387" s="2350"/>
      <c r="R387" s="2350"/>
      <c r="S387" s="2350"/>
      <c r="T387" s="2350"/>
      <c r="U387" s="2350"/>
      <c r="V387" s="2350"/>
      <c r="W387" s="2350"/>
      <c r="X387" s="2350"/>
      <c r="Y387" s="2350"/>
      <c r="Z387" s="2350"/>
      <c r="AA387" s="2350"/>
      <c r="AB387" s="2350"/>
      <c r="AC387" s="2350"/>
      <c r="AD387" s="2350"/>
      <c r="AE387" s="2350"/>
      <c r="AF387" s="2350"/>
      <c r="AG387" s="681"/>
      <c r="AH387" s="681"/>
      <c r="AI387" s="681"/>
      <c r="AJ387" s="681"/>
      <c r="AK387" s="681"/>
      <c r="AL387" s="1319"/>
      <c r="AM387" s="16"/>
      <c r="AN387" s="439"/>
      <c r="BS387" s="132"/>
      <c r="BT387" s="132"/>
      <c r="BU387" s="65"/>
      <c r="BV387" s="65"/>
      <c r="BW387" s="65"/>
      <c r="BX387" s="65"/>
      <c r="BY387" s="65"/>
      <c r="BZ387" s="65"/>
      <c r="CA387" s="65"/>
      <c r="CB387" s="65"/>
      <c r="CC387" s="65"/>
      <c r="CD387" s="65"/>
      <c r="CE387" s="65"/>
      <c r="CF387" s="65"/>
      <c r="CG387" s="65"/>
      <c r="CH387" s="65"/>
      <c r="CI387" s="16"/>
      <c r="CJ387" s="16"/>
      <c r="CK387" s="16"/>
      <c r="CL387" s="16"/>
      <c r="CM387" s="16"/>
      <c r="CN387" s="16"/>
      <c r="DI387" s="16"/>
      <c r="DJ387" s="16"/>
      <c r="DK387" s="16"/>
      <c r="DL387" s="16"/>
      <c r="DM387" s="16"/>
      <c r="DN387" s="16"/>
      <c r="DO387" s="16"/>
      <c r="DP387" s="16"/>
      <c r="EA387" s="16"/>
      <c r="EB387" s="16"/>
      <c r="EC387" s="16"/>
      <c r="ED387" s="16"/>
      <c r="EE387" s="16"/>
      <c r="EF387" s="16"/>
      <c r="EG387" s="16"/>
      <c r="EH387" s="16"/>
      <c r="EI387" s="16"/>
      <c r="EJ387" s="16"/>
      <c r="EK387" s="16"/>
      <c r="EL387" s="16"/>
      <c r="EM387" s="16"/>
      <c r="EN387" s="16"/>
      <c r="EO387" s="16"/>
      <c r="EP387" s="16"/>
      <c r="EQ387" s="16"/>
      <c r="ER387" s="16"/>
      <c r="ES387" s="16"/>
      <c r="ET387" s="16"/>
      <c r="EU387" s="16"/>
      <c r="EV387" s="16"/>
      <c r="EW387" s="16"/>
    </row>
    <row r="388" spans="1:153" s="46" customFormat="1" ht="12.75" customHeight="1">
      <c r="A388" s="8"/>
      <c r="B388" s="65"/>
      <c r="C388" s="1194"/>
      <c r="D388" s="125"/>
      <c r="E388" s="306"/>
      <c r="F388" s="2350"/>
      <c r="G388" s="2350"/>
      <c r="H388" s="2350"/>
      <c r="I388" s="2350"/>
      <c r="J388" s="2350"/>
      <c r="K388" s="2350"/>
      <c r="L388" s="2350"/>
      <c r="M388" s="2350"/>
      <c r="N388" s="2350"/>
      <c r="O388" s="2350"/>
      <c r="P388" s="2350"/>
      <c r="Q388" s="2350"/>
      <c r="R388" s="2350"/>
      <c r="S388" s="2350"/>
      <c r="T388" s="2350"/>
      <c r="U388" s="2350"/>
      <c r="V388" s="2350"/>
      <c r="W388" s="2350"/>
      <c r="X388" s="2350"/>
      <c r="Y388" s="2350"/>
      <c r="Z388" s="2350"/>
      <c r="AA388" s="2350"/>
      <c r="AB388" s="2350"/>
      <c r="AC388" s="2350"/>
      <c r="AD388" s="2350"/>
      <c r="AE388" s="2350"/>
      <c r="AF388" s="2350"/>
      <c r="AG388" s="681"/>
      <c r="AH388" s="681"/>
      <c r="AI388" s="681"/>
      <c r="AJ388" s="681"/>
      <c r="AK388" s="681"/>
      <c r="AL388" s="1319"/>
      <c r="AM388" s="16"/>
      <c r="AN388" s="439"/>
      <c r="BS388" s="132"/>
      <c r="BT388" s="132"/>
      <c r="BU388" s="65"/>
      <c r="BV388" s="65"/>
      <c r="BW388" s="65"/>
      <c r="BX388" s="65"/>
      <c r="BY388" s="65"/>
      <c r="BZ388" s="65"/>
      <c r="CA388" s="65"/>
      <c r="CB388" s="65"/>
      <c r="CC388" s="65"/>
      <c r="CD388" s="65"/>
      <c r="CE388" s="65"/>
      <c r="CF388" s="65"/>
      <c r="CG388" s="65"/>
      <c r="CH388" s="65"/>
      <c r="CI388" s="16"/>
      <c r="CJ388" s="16"/>
      <c r="CK388" s="16"/>
      <c r="CL388" s="16"/>
      <c r="CM388" s="16"/>
      <c r="CN388" s="16"/>
      <c r="DI388" s="16"/>
      <c r="DJ388" s="16"/>
      <c r="DK388" s="16"/>
      <c r="DL388" s="16"/>
      <c r="DM388" s="16"/>
      <c r="DN388" s="16"/>
      <c r="DO388" s="16"/>
      <c r="DP388" s="16"/>
      <c r="DQ388" s="16"/>
      <c r="DR388" s="16"/>
      <c r="DS388" s="16"/>
      <c r="DT388" s="16"/>
      <c r="DU388" s="16"/>
      <c r="DV388" s="16"/>
      <c r="DW388" s="16"/>
      <c r="DX388" s="16"/>
      <c r="DY388" s="16"/>
      <c r="DZ388" s="16"/>
      <c r="EA388" s="16"/>
      <c r="EB388" s="16"/>
      <c r="EC388" s="16"/>
      <c r="ED388" s="16"/>
      <c r="EE388" s="16"/>
      <c r="EF388" s="16"/>
      <c r="EG388" s="16"/>
      <c r="EH388" s="16"/>
      <c r="EI388" s="16"/>
      <c r="EJ388" s="16"/>
      <c r="EK388" s="16"/>
      <c r="EL388" s="16"/>
      <c r="EM388" s="16"/>
      <c r="EN388" s="16"/>
      <c r="EO388" s="16"/>
      <c r="EP388" s="16"/>
      <c r="EQ388" s="16"/>
      <c r="ER388" s="16"/>
      <c r="ES388" s="16"/>
      <c r="ET388" s="16"/>
      <c r="EU388" s="16"/>
      <c r="EV388" s="16"/>
      <c r="EW388" s="16"/>
    </row>
    <row r="389" spans="1:153" s="46" customFormat="1" ht="12.75" customHeight="1">
      <c r="A389" s="8"/>
      <c r="B389" s="65"/>
      <c r="C389" s="1194"/>
      <c r="D389" s="125"/>
      <c r="E389" s="306"/>
      <c r="F389" s="2350"/>
      <c r="G389" s="2350"/>
      <c r="H389" s="2350"/>
      <c r="I389" s="2350"/>
      <c r="J389" s="2350"/>
      <c r="K389" s="2350"/>
      <c r="L389" s="2350"/>
      <c r="M389" s="2350"/>
      <c r="N389" s="2350"/>
      <c r="O389" s="2350"/>
      <c r="P389" s="2350"/>
      <c r="Q389" s="2350"/>
      <c r="R389" s="2350"/>
      <c r="S389" s="2350"/>
      <c r="T389" s="2350"/>
      <c r="U389" s="2350"/>
      <c r="V389" s="2350"/>
      <c r="W389" s="2350"/>
      <c r="X389" s="2350"/>
      <c r="Y389" s="2350"/>
      <c r="Z389" s="2350"/>
      <c r="AA389" s="2350"/>
      <c r="AB389" s="2350"/>
      <c r="AC389" s="2350"/>
      <c r="AD389" s="2350"/>
      <c r="AE389" s="2350"/>
      <c r="AF389" s="2350"/>
      <c r="AG389" s="681"/>
      <c r="AH389" s="681"/>
      <c r="AI389" s="681"/>
      <c r="AJ389" s="681"/>
      <c r="AK389" s="681"/>
      <c r="AL389" s="1319"/>
      <c r="AM389" s="16"/>
      <c r="AN389" s="439"/>
      <c r="BS389" s="132"/>
      <c r="BT389" s="132"/>
      <c r="BU389" s="65"/>
      <c r="BV389" s="65"/>
      <c r="BW389" s="65"/>
      <c r="BX389" s="65"/>
      <c r="BY389" s="65"/>
      <c r="BZ389" s="65"/>
      <c r="CA389" s="65"/>
      <c r="CB389" s="65"/>
      <c r="CC389" s="65"/>
      <c r="CD389" s="65"/>
      <c r="CE389" s="65"/>
      <c r="CF389" s="65"/>
      <c r="CG389" s="65"/>
      <c r="CH389" s="65"/>
      <c r="CI389" s="16"/>
      <c r="CJ389" s="16"/>
      <c r="CK389" s="16"/>
      <c r="CL389" s="16"/>
      <c r="CM389" s="16"/>
      <c r="CN389" s="16"/>
      <c r="DI389" s="16"/>
      <c r="DJ389" s="16"/>
      <c r="DK389" s="16"/>
      <c r="DL389" s="16"/>
      <c r="DM389" s="16"/>
      <c r="DN389" s="16"/>
      <c r="DY389" s="16"/>
      <c r="DZ389" s="16"/>
      <c r="EA389" s="16"/>
      <c r="EB389" s="16"/>
      <c r="EC389" s="16"/>
      <c r="ED389" s="16"/>
      <c r="EE389" s="16"/>
      <c r="EF389" s="16"/>
      <c r="EG389" s="16"/>
      <c r="EH389" s="16"/>
      <c r="EI389" s="16"/>
      <c r="EJ389" s="16"/>
      <c r="EK389" s="16"/>
      <c r="EL389" s="16"/>
      <c r="EM389" s="16"/>
      <c r="EN389" s="16"/>
      <c r="EO389" s="16"/>
      <c r="EP389" s="16"/>
      <c r="EQ389" s="16"/>
      <c r="ER389" s="16"/>
      <c r="ES389" s="16"/>
      <c r="ET389" s="16"/>
      <c r="EU389" s="16"/>
      <c r="EV389" s="16"/>
      <c r="EW389" s="16"/>
    </row>
    <row r="390" spans="1:153" s="46" customFormat="1" ht="12.75" customHeight="1">
      <c r="A390" s="8"/>
      <c r="B390" s="65"/>
      <c r="C390" s="1194"/>
      <c r="D390" s="125"/>
      <c r="E390" s="306"/>
      <c r="F390" s="2350"/>
      <c r="G390" s="2350"/>
      <c r="H390" s="2350"/>
      <c r="I390" s="2350"/>
      <c r="J390" s="2350"/>
      <c r="K390" s="2350"/>
      <c r="L390" s="2350"/>
      <c r="M390" s="2350"/>
      <c r="N390" s="2350"/>
      <c r="O390" s="2350"/>
      <c r="P390" s="2350"/>
      <c r="Q390" s="2350"/>
      <c r="R390" s="2350"/>
      <c r="S390" s="2350"/>
      <c r="T390" s="2350"/>
      <c r="U390" s="2350"/>
      <c r="V390" s="2350"/>
      <c r="W390" s="2350"/>
      <c r="X390" s="2350"/>
      <c r="Y390" s="2350"/>
      <c r="Z390" s="2350"/>
      <c r="AA390" s="2350"/>
      <c r="AB390" s="2350"/>
      <c r="AC390" s="2350"/>
      <c r="AD390" s="2350"/>
      <c r="AE390" s="2350"/>
      <c r="AF390" s="2350"/>
      <c r="AG390" s="162"/>
      <c r="AH390" s="162"/>
      <c r="AI390" s="162"/>
      <c r="AJ390" s="162"/>
      <c r="AK390" s="162"/>
      <c r="AL390" s="1195"/>
      <c r="AN390" s="439"/>
      <c r="BS390" s="132"/>
      <c r="BT390" s="132"/>
      <c r="BU390" s="65"/>
      <c r="BV390" s="65"/>
      <c r="BW390" s="65"/>
      <c r="BX390" s="65"/>
      <c r="BY390" s="65"/>
      <c r="BZ390" s="65"/>
      <c r="CA390" s="65"/>
      <c r="CB390" s="65"/>
      <c r="CC390" s="65"/>
      <c r="CD390" s="65"/>
      <c r="CE390" s="65"/>
      <c r="CF390" s="65"/>
      <c r="CG390" s="65"/>
      <c r="CH390" s="65"/>
      <c r="CI390" s="16"/>
      <c r="CJ390" s="16"/>
      <c r="CK390" s="16"/>
      <c r="CL390" s="16"/>
      <c r="CM390" s="16"/>
      <c r="CN390" s="16"/>
      <c r="DI390" s="16"/>
      <c r="DJ390" s="16"/>
      <c r="DK390" s="16"/>
      <c r="DL390" s="16"/>
      <c r="DM390" s="16"/>
      <c r="DN390" s="16"/>
      <c r="DY390" s="16"/>
      <c r="DZ390" s="16"/>
      <c r="EA390" s="16"/>
      <c r="EB390" s="16"/>
      <c r="EC390" s="16"/>
      <c r="ED390" s="16"/>
      <c r="EE390" s="16"/>
      <c r="EF390" s="16"/>
      <c r="EG390" s="16"/>
      <c r="EH390" s="16"/>
      <c r="EI390" s="16"/>
      <c r="EJ390" s="16"/>
      <c r="EK390" s="16"/>
      <c r="EL390" s="16"/>
      <c r="EM390" s="16"/>
      <c r="EN390" s="16"/>
      <c r="EO390" s="16"/>
      <c r="EP390" s="16"/>
      <c r="EQ390" s="16"/>
      <c r="ER390" s="16"/>
      <c r="ES390" s="16"/>
      <c r="ET390" s="16"/>
      <c r="EU390" s="16"/>
      <c r="EV390" s="16"/>
      <c r="EW390" s="16"/>
    </row>
    <row r="391" spans="1:153" s="46" customFormat="1" ht="12.75" customHeight="1">
      <c r="A391" s="8"/>
      <c r="B391" s="65"/>
      <c r="C391" s="2331" t="s">
        <v>136</v>
      </c>
      <c r="D391" s="1786"/>
      <c r="E391" s="306"/>
      <c r="F391" s="1184" t="s">
        <v>2014</v>
      </c>
      <c r="G391" s="1185"/>
      <c r="H391" s="1185"/>
      <c r="I391" s="1185"/>
      <c r="J391" s="1185"/>
      <c r="K391" s="1185"/>
      <c r="L391" s="1185"/>
      <c r="M391" s="1185"/>
      <c r="N391" s="1185"/>
      <c r="O391" s="1185"/>
      <c r="P391" s="1185"/>
      <c r="Q391" s="1185"/>
      <c r="R391" s="1185"/>
      <c r="S391" s="1185"/>
      <c r="T391" s="1185"/>
      <c r="U391" s="1185"/>
      <c r="V391" s="1185"/>
      <c r="W391" s="1185"/>
      <c r="X391" s="1185"/>
      <c r="Y391" s="1185"/>
      <c r="Z391" s="1185"/>
      <c r="AA391" s="1185"/>
      <c r="AB391" s="1185"/>
      <c r="AC391" s="1185"/>
      <c r="AD391" s="1185"/>
      <c r="AE391" s="162"/>
      <c r="AF391" s="2036" t="s">
        <v>355</v>
      </c>
      <c r="AG391" s="2036"/>
      <c r="AH391" s="2036"/>
      <c r="AI391" s="2036"/>
      <c r="AJ391" s="2036"/>
      <c r="AK391" s="2036"/>
      <c r="AL391" s="2343"/>
      <c r="AM391" s="16"/>
      <c r="AN391" s="439"/>
      <c r="BS391" s="132"/>
      <c r="BT391" s="132"/>
      <c r="BU391" s="65"/>
      <c r="BV391" s="65"/>
      <c r="BW391" s="65"/>
      <c r="BX391" s="65"/>
      <c r="BY391" s="65"/>
      <c r="BZ391" s="65"/>
      <c r="CA391" s="65"/>
      <c r="CB391" s="65"/>
      <c r="CC391" s="65"/>
      <c r="CD391" s="65"/>
      <c r="CE391" s="65"/>
      <c r="CF391" s="65"/>
      <c r="CG391" s="65"/>
      <c r="CH391" s="65"/>
      <c r="CI391" s="16"/>
      <c r="CJ391" s="16"/>
      <c r="CK391" s="16"/>
      <c r="CL391" s="16"/>
      <c r="CM391" s="16"/>
      <c r="CN391" s="16"/>
      <c r="EK391" s="16"/>
      <c r="EL391" s="16"/>
      <c r="EM391" s="16"/>
      <c r="EN391" s="16"/>
      <c r="EO391" s="16"/>
      <c r="EP391" s="16"/>
      <c r="EQ391" s="16"/>
      <c r="ER391" s="16"/>
      <c r="ES391" s="16"/>
      <c r="ET391" s="16"/>
      <c r="EU391" s="16"/>
      <c r="EV391" s="16"/>
      <c r="EW391" s="16"/>
    </row>
    <row r="392" spans="1:153" s="46" customFormat="1" ht="12.75" customHeight="1">
      <c r="A392" s="8"/>
      <c r="B392" s="65"/>
      <c r="C392" s="1425"/>
      <c r="D392" s="1203"/>
      <c r="E392" s="1192"/>
      <c r="F392" s="1389"/>
      <c r="G392" s="1389"/>
      <c r="H392" s="1389"/>
      <c r="I392" s="1389"/>
      <c r="J392" s="1389"/>
      <c r="K392" s="1389"/>
      <c r="L392" s="1389"/>
      <c r="M392" s="1389"/>
      <c r="N392" s="1389"/>
      <c r="O392" s="1389"/>
      <c r="P392" s="1389"/>
      <c r="Q392" s="1389"/>
      <c r="R392" s="1389"/>
      <c r="S392" s="1389"/>
      <c r="T392" s="1389"/>
      <c r="U392" s="1389"/>
      <c r="V392" s="1389"/>
      <c r="W392" s="1389"/>
      <c r="X392" s="1389"/>
      <c r="Y392" s="1389"/>
      <c r="Z392" s="1389"/>
      <c r="AA392" s="1389"/>
      <c r="AB392" s="1389"/>
      <c r="AC392" s="1389"/>
      <c r="AD392" s="1389"/>
      <c r="AE392" s="1393"/>
      <c r="AF392" s="1393"/>
      <c r="AG392" s="1393"/>
      <c r="AH392" s="1393"/>
      <c r="AI392" s="1393"/>
      <c r="AJ392" s="1393"/>
      <c r="AK392" s="1393"/>
      <c r="AL392" s="1394"/>
      <c r="AM392" s="16"/>
      <c r="AN392" s="439"/>
      <c r="BS392" s="132"/>
      <c r="BT392" s="132"/>
      <c r="BU392" s="65"/>
      <c r="BV392" s="65"/>
      <c r="BW392" s="65"/>
      <c r="BX392" s="65"/>
      <c r="BY392" s="65"/>
      <c r="BZ392" s="65"/>
      <c r="CA392" s="65"/>
      <c r="CB392" s="65"/>
      <c r="CC392" s="65"/>
      <c r="CD392" s="65"/>
      <c r="CE392" s="65"/>
      <c r="CF392" s="65"/>
      <c r="CG392" s="65"/>
      <c r="CH392" s="65"/>
      <c r="CI392" s="16"/>
      <c r="CJ392" s="16"/>
      <c r="CK392" s="16"/>
      <c r="CL392" s="16"/>
      <c r="CM392" s="16"/>
      <c r="CN392" s="16"/>
      <c r="EK392" s="16"/>
      <c r="EL392" s="16"/>
      <c r="EM392" s="16"/>
      <c r="EN392" s="16"/>
      <c r="EO392" s="16"/>
      <c r="EP392" s="16"/>
      <c r="EQ392" s="16"/>
      <c r="ER392" s="16"/>
      <c r="ES392" s="16"/>
      <c r="ET392" s="16"/>
      <c r="EU392" s="16"/>
      <c r="EV392" s="16"/>
      <c r="EW392" s="16"/>
    </row>
    <row r="393" spans="1:153" s="205" customFormat="1" ht="12.75" customHeight="1">
      <c r="A393" s="8"/>
      <c r="B393" s="65"/>
      <c r="C393" s="2330"/>
      <c r="D393" s="2330"/>
      <c r="E393" s="350"/>
      <c r="F393" s="1426"/>
      <c r="G393" s="1427"/>
      <c r="H393" s="1427"/>
      <c r="I393" s="1427"/>
      <c r="J393" s="1427"/>
      <c r="K393" s="1427"/>
      <c r="L393" s="1427"/>
      <c r="M393" s="1427"/>
      <c r="N393" s="1427"/>
      <c r="O393" s="1427"/>
      <c r="P393" s="1427"/>
      <c r="Q393" s="1427"/>
      <c r="R393" s="1427"/>
      <c r="S393" s="1427"/>
      <c r="T393" s="1427"/>
      <c r="U393" s="1427"/>
      <c r="V393" s="1427"/>
      <c r="W393" s="1427"/>
      <c r="X393" s="1427"/>
      <c r="Y393" s="1427"/>
      <c r="Z393" s="1427"/>
      <c r="AA393" s="1427"/>
      <c r="AB393" s="1427"/>
      <c r="AC393" s="1427"/>
      <c r="AD393" s="1427"/>
      <c r="AE393" s="203"/>
      <c r="AF393" s="2306"/>
      <c r="AG393" s="2306"/>
      <c r="AH393" s="2306"/>
      <c r="AI393" s="2306"/>
      <c r="AJ393" s="2306"/>
      <c r="AK393" s="2306"/>
      <c r="AL393" s="2306"/>
      <c r="AM393" s="16"/>
      <c r="AN393" s="475"/>
      <c r="BS393" s="132"/>
      <c r="BT393" s="132"/>
      <c r="BU393" s="65"/>
      <c r="BV393" s="65"/>
      <c r="BW393" s="65"/>
      <c r="BX393" s="65"/>
      <c r="BY393" s="65"/>
      <c r="BZ393" s="65"/>
      <c r="CA393" s="65"/>
      <c r="CB393" s="65"/>
      <c r="CC393" s="65"/>
      <c r="CD393" s="65"/>
      <c r="CE393" s="65"/>
      <c r="CF393" s="65"/>
      <c r="CG393" s="65"/>
      <c r="CH393" s="65"/>
      <c r="CI393" s="35"/>
      <c r="CJ393" s="35"/>
      <c r="CK393" s="35"/>
      <c r="CL393" s="35"/>
      <c r="CM393" s="35"/>
      <c r="CN393" s="16"/>
      <c r="EK393" s="16"/>
      <c r="EL393" s="16"/>
      <c r="EM393" s="16"/>
      <c r="EN393" s="16"/>
      <c r="EO393" s="16"/>
      <c r="EP393" s="16"/>
      <c r="EQ393" s="16"/>
      <c r="ER393" s="16"/>
      <c r="ES393" s="16"/>
      <c r="ET393" s="16"/>
      <c r="EU393" s="16"/>
      <c r="EV393" s="16"/>
      <c r="EW393" s="16"/>
    </row>
    <row r="394" spans="1:153" s="46" customFormat="1" ht="12.75" customHeight="1">
      <c r="A394" s="8"/>
      <c r="B394" s="65"/>
      <c r="C394" s="65"/>
      <c r="D394" s="65"/>
      <c r="E394" s="306"/>
      <c r="F394" s="546"/>
      <c r="G394" s="436"/>
      <c r="H394" s="436"/>
      <c r="I394" s="436"/>
      <c r="J394" s="436"/>
      <c r="K394" s="436"/>
      <c r="L394" s="436"/>
      <c r="M394" s="436"/>
      <c r="N394" s="436"/>
      <c r="O394" s="436"/>
      <c r="P394" s="436"/>
      <c r="Q394" s="436"/>
      <c r="R394" s="436"/>
      <c r="S394" s="436"/>
      <c r="T394" s="436"/>
      <c r="U394" s="436"/>
      <c r="V394" s="436"/>
      <c r="W394" s="436"/>
      <c r="X394" s="436"/>
      <c r="Y394" s="436"/>
      <c r="Z394" s="436"/>
      <c r="AA394" s="436"/>
      <c r="AB394" s="436"/>
      <c r="AC394" s="436"/>
      <c r="AD394" s="436"/>
      <c r="AE394" s="8"/>
      <c r="AF394" s="63"/>
      <c r="AG394" s="8"/>
      <c r="AM394" s="16"/>
      <c r="AN394" s="439"/>
      <c r="BS394" s="132"/>
      <c r="BT394" s="132"/>
      <c r="BU394" s="65"/>
      <c r="BV394" s="65"/>
      <c r="BW394" s="65"/>
      <c r="BX394" s="65"/>
      <c r="BY394" s="65"/>
      <c r="BZ394" s="65"/>
      <c r="CA394" s="65"/>
      <c r="CB394" s="65"/>
      <c r="CC394" s="65"/>
      <c r="CD394" s="65"/>
      <c r="CE394" s="65"/>
      <c r="CF394" s="65"/>
      <c r="CG394" s="65"/>
      <c r="CH394" s="65"/>
      <c r="CI394" s="35"/>
      <c r="CJ394" s="35"/>
      <c r="CK394" s="35"/>
      <c r="CL394" s="35"/>
      <c r="CM394" s="35"/>
      <c r="CN394" s="16"/>
      <c r="EK394" s="16"/>
      <c r="EL394" s="16"/>
      <c r="EM394" s="16"/>
      <c r="EN394" s="16"/>
      <c r="EO394" s="16"/>
      <c r="EP394" s="16"/>
      <c r="EQ394" s="16"/>
      <c r="ER394" s="16"/>
      <c r="ES394" s="16"/>
      <c r="ET394" s="16"/>
      <c r="EU394" s="16"/>
      <c r="EV394" s="16"/>
      <c r="EW394" s="16"/>
    </row>
    <row r="395" spans="1:153" s="46" customFormat="1" ht="12.75" customHeight="1">
      <c r="A395" s="8"/>
      <c r="B395" s="65"/>
      <c r="C395" s="65"/>
      <c r="D395" s="65"/>
      <c r="E395" s="306"/>
      <c r="F395" s="436"/>
      <c r="G395" s="436"/>
      <c r="H395" s="436"/>
      <c r="I395" s="436"/>
      <c r="J395" s="436"/>
      <c r="K395" s="436"/>
      <c r="L395" s="436"/>
      <c r="M395" s="436"/>
      <c r="N395" s="436"/>
      <c r="O395" s="436"/>
      <c r="P395" s="436"/>
      <c r="Q395" s="436"/>
      <c r="R395" s="436"/>
      <c r="S395" s="436"/>
      <c r="T395" s="436"/>
      <c r="U395" s="436"/>
      <c r="V395" s="436"/>
      <c r="W395" s="436"/>
      <c r="X395" s="436"/>
      <c r="Y395" s="436"/>
      <c r="Z395" s="436"/>
      <c r="AA395" s="436"/>
      <c r="AB395" s="436"/>
      <c r="AC395" s="436"/>
      <c r="AD395" s="436"/>
      <c r="AE395" s="8"/>
      <c r="AF395" s="63"/>
      <c r="AG395" s="8"/>
      <c r="AM395" s="16"/>
      <c r="AN395" s="439"/>
      <c r="BS395" s="132"/>
      <c r="BT395" s="132"/>
      <c r="BU395" s="65"/>
      <c r="BV395" s="65"/>
      <c r="BW395" s="65"/>
      <c r="BX395" s="65"/>
      <c r="BY395" s="65"/>
      <c r="BZ395" s="65"/>
      <c r="CA395" s="65"/>
      <c r="CB395" s="65"/>
      <c r="CC395" s="65"/>
      <c r="CD395" s="65"/>
      <c r="CE395" s="65"/>
      <c r="CF395" s="65"/>
      <c r="CG395" s="65"/>
      <c r="CH395" s="65"/>
      <c r="CI395" s="35"/>
      <c r="CJ395" s="35"/>
      <c r="CK395" s="35"/>
      <c r="CL395" s="35"/>
      <c r="CM395" s="35"/>
      <c r="CN395" s="16"/>
      <c r="CO395" s="16"/>
      <c r="CP395" s="16"/>
      <c r="CQ395" s="16"/>
      <c r="CR395" s="16"/>
      <c r="CS395" s="16"/>
      <c r="CT395" s="16"/>
      <c r="CU395" s="16"/>
      <c r="CV395" s="16"/>
      <c r="CW395" s="16"/>
      <c r="CX395" s="16"/>
      <c r="DD395" s="16"/>
      <c r="DE395" s="16"/>
      <c r="DF395" s="16"/>
      <c r="EK395" s="16"/>
      <c r="EL395" s="16"/>
      <c r="EM395" s="16"/>
      <c r="EN395" s="16"/>
      <c r="EO395" s="16"/>
      <c r="EP395" s="16"/>
      <c r="EQ395" s="16"/>
      <c r="ER395" s="16"/>
      <c r="ES395" s="16"/>
      <c r="ET395" s="16"/>
      <c r="EU395" s="16"/>
      <c r="EV395" s="16"/>
      <c r="EW395" s="16"/>
    </row>
    <row r="396" spans="1:153" s="46" customFormat="1" ht="12.75" customHeight="1">
      <c r="A396" s="8"/>
      <c r="B396" s="65"/>
      <c r="C396" s="1186"/>
      <c r="D396" s="1187"/>
      <c r="E396" s="1188" t="s">
        <v>208</v>
      </c>
      <c r="F396" s="2380" t="s">
        <v>2239</v>
      </c>
      <c r="G396" s="2380"/>
      <c r="H396" s="2380"/>
      <c r="I396" s="2380"/>
      <c r="J396" s="2380"/>
      <c r="K396" s="2380"/>
      <c r="L396" s="2380"/>
      <c r="M396" s="2380"/>
      <c r="N396" s="2380"/>
      <c r="O396" s="2380"/>
      <c r="P396" s="2380"/>
      <c r="Q396" s="2380"/>
      <c r="R396" s="2380"/>
      <c r="S396" s="2380"/>
      <c r="T396" s="2380"/>
      <c r="U396" s="2380"/>
      <c r="V396" s="2380"/>
      <c r="W396" s="2380"/>
      <c r="X396" s="2380"/>
      <c r="Y396" s="2380"/>
      <c r="Z396" s="2380"/>
      <c r="AA396" s="2380"/>
      <c r="AB396" s="2380"/>
      <c r="AC396" s="2380"/>
      <c r="AD396" s="2380"/>
      <c r="AE396" s="2380"/>
      <c r="AF396" s="2380"/>
      <c r="AG396" s="1330"/>
      <c r="AH396" s="1330"/>
      <c r="AI396" s="1330"/>
      <c r="AJ396" s="1330"/>
      <c r="AK396" s="1330"/>
      <c r="AL396" s="1325"/>
      <c r="AM396" s="16"/>
      <c r="AN396" s="439"/>
      <c r="BS396" s="16"/>
      <c r="BT396" s="16"/>
      <c r="BU396" s="16"/>
      <c r="BV396" s="16"/>
      <c r="BW396" s="16"/>
      <c r="BX396" s="16"/>
      <c r="BY396" s="16"/>
      <c r="BZ396" s="16"/>
      <c r="CA396" s="16"/>
      <c r="CB396" s="16"/>
      <c r="CC396" s="16"/>
      <c r="CD396" s="16"/>
      <c r="CE396" s="16"/>
      <c r="CF396" s="16"/>
      <c r="CG396" s="16"/>
      <c r="CH396" s="16"/>
      <c r="CI396" s="16"/>
      <c r="CJ396" s="16"/>
      <c r="CK396" s="16"/>
      <c r="CL396" s="16"/>
      <c r="CM396" s="16"/>
      <c r="CN396" s="16"/>
      <c r="CO396" s="16"/>
      <c r="CP396" s="16"/>
      <c r="CQ396" s="16"/>
      <c r="CR396" s="16"/>
      <c r="CS396" s="16"/>
      <c r="CT396" s="16"/>
      <c r="CU396" s="16"/>
      <c r="CV396" s="16"/>
      <c r="CW396" s="16"/>
      <c r="CX396" s="16"/>
      <c r="CY396" s="16"/>
      <c r="CZ396" s="16"/>
      <c r="DA396" s="16"/>
      <c r="DB396" s="16"/>
      <c r="DC396" s="16"/>
      <c r="DD396" s="16"/>
      <c r="DE396" s="16"/>
      <c r="DF396" s="16"/>
      <c r="EK396" s="16"/>
      <c r="EL396" s="16"/>
      <c r="EM396" s="16"/>
      <c r="EN396" s="16"/>
      <c r="EO396" s="16"/>
      <c r="EP396" s="16"/>
      <c r="EQ396" s="16"/>
      <c r="ER396" s="16"/>
      <c r="ES396" s="16"/>
      <c r="ET396" s="16"/>
      <c r="EU396" s="16"/>
      <c r="EV396" s="16"/>
      <c r="EW396" s="16"/>
    </row>
    <row r="397" spans="1:153" s="46" customFormat="1" ht="12.75" customHeight="1">
      <c r="A397" s="8"/>
      <c r="B397" s="65"/>
      <c r="C397" s="1194"/>
      <c r="D397" s="125"/>
      <c r="E397" s="306"/>
      <c r="F397" s="2381"/>
      <c r="G397" s="2381"/>
      <c r="H397" s="2381"/>
      <c r="I397" s="2381"/>
      <c r="J397" s="2381"/>
      <c r="K397" s="2381"/>
      <c r="L397" s="2381"/>
      <c r="M397" s="2381"/>
      <c r="N397" s="2381"/>
      <c r="O397" s="2381"/>
      <c r="P397" s="2381"/>
      <c r="Q397" s="2381"/>
      <c r="R397" s="2381"/>
      <c r="S397" s="2381"/>
      <c r="T397" s="2381"/>
      <c r="U397" s="2381"/>
      <c r="V397" s="2381"/>
      <c r="W397" s="2381"/>
      <c r="X397" s="2381"/>
      <c r="Y397" s="2381"/>
      <c r="Z397" s="2381"/>
      <c r="AA397" s="2381"/>
      <c r="AB397" s="2381"/>
      <c r="AC397" s="2381"/>
      <c r="AD397" s="2381"/>
      <c r="AE397" s="2381"/>
      <c r="AF397" s="2381"/>
      <c r="AG397" s="681"/>
      <c r="AH397" s="681"/>
      <c r="AI397" s="681"/>
      <c r="AJ397" s="681"/>
      <c r="AK397" s="681"/>
      <c r="AL397" s="1319"/>
      <c r="AM397" s="16"/>
      <c r="AN397" s="439"/>
      <c r="BS397" s="16"/>
      <c r="BT397" s="16"/>
      <c r="BU397" s="16"/>
      <c r="BV397" s="16"/>
      <c r="BW397" s="16"/>
      <c r="BX397" s="16"/>
      <c r="BY397" s="16"/>
      <c r="BZ397" s="16"/>
      <c r="CA397" s="16"/>
      <c r="CB397" s="16"/>
      <c r="CC397" s="16"/>
      <c r="CD397" s="16"/>
      <c r="CE397" s="16"/>
      <c r="CF397" s="16"/>
      <c r="CG397" s="16"/>
      <c r="CH397" s="16"/>
      <c r="CI397" s="16"/>
      <c r="CJ397" s="16"/>
      <c r="CK397" s="16"/>
      <c r="CL397" s="16"/>
      <c r="CM397" s="16"/>
      <c r="CN397" s="16"/>
      <c r="CO397" s="16"/>
      <c r="CP397" s="16"/>
      <c r="CQ397" s="16"/>
      <c r="CR397" s="16"/>
      <c r="CS397" s="16"/>
      <c r="CT397" s="16"/>
      <c r="CU397" s="16"/>
      <c r="CV397" s="16"/>
      <c r="CW397" s="16"/>
      <c r="CX397" s="16"/>
      <c r="CY397" s="16"/>
      <c r="CZ397" s="16"/>
      <c r="DA397" s="16"/>
      <c r="DB397" s="16"/>
      <c r="DC397" s="16"/>
      <c r="DD397" s="16"/>
      <c r="DE397" s="16"/>
      <c r="DF397" s="16"/>
      <c r="EK397" s="16"/>
      <c r="EL397" s="16"/>
      <c r="EM397" s="16"/>
      <c r="EN397" s="16"/>
      <c r="EO397" s="16"/>
      <c r="EP397" s="16"/>
      <c r="EQ397" s="16"/>
      <c r="ER397" s="16"/>
      <c r="ES397" s="16"/>
      <c r="ET397" s="16"/>
      <c r="EU397" s="16"/>
      <c r="EV397" s="16"/>
      <c r="EW397" s="16"/>
    </row>
    <row r="398" spans="1:153" s="46" customFormat="1" ht="12.75" customHeight="1">
      <c r="A398" s="8"/>
      <c r="B398" s="65"/>
      <c r="C398" s="1194"/>
      <c r="D398" s="125"/>
      <c r="E398" s="306"/>
      <c r="F398" s="2381"/>
      <c r="G398" s="2381"/>
      <c r="H398" s="2381"/>
      <c r="I398" s="2381"/>
      <c r="J398" s="2381"/>
      <c r="K398" s="2381"/>
      <c r="L398" s="2381"/>
      <c r="M398" s="2381"/>
      <c r="N398" s="2381"/>
      <c r="O398" s="2381"/>
      <c r="P398" s="2381"/>
      <c r="Q398" s="2381"/>
      <c r="R398" s="2381"/>
      <c r="S398" s="2381"/>
      <c r="T398" s="2381"/>
      <c r="U398" s="2381"/>
      <c r="V398" s="2381"/>
      <c r="W398" s="2381"/>
      <c r="X398" s="2381"/>
      <c r="Y398" s="2381"/>
      <c r="Z398" s="2381"/>
      <c r="AA398" s="2381"/>
      <c r="AB398" s="2381"/>
      <c r="AC398" s="2381"/>
      <c r="AD398" s="2381"/>
      <c r="AE398" s="2381"/>
      <c r="AF398" s="2381"/>
      <c r="AG398" s="681"/>
      <c r="AH398" s="681"/>
      <c r="AI398" s="681"/>
      <c r="AJ398" s="681"/>
      <c r="AK398" s="681"/>
      <c r="AL398" s="1391"/>
      <c r="AM398" s="16"/>
      <c r="AN398" s="439"/>
      <c r="BS398" s="16"/>
      <c r="BT398" s="16"/>
      <c r="BU398" s="16"/>
      <c r="BV398" s="16"/>
      <c r="BW398" s="16"/>
      <c r="BX398" s="16"/>
      <c r="BY398" s="16"/>
      <c r="BZ398" s="16"/>
      <c r="CA398" s="16"/>
      <c r="CB398" s="16"/>
      <c r="CC398" s="16"/>
      <c r="CD398" s="16"/>
      <c r="CE398" s="16"/>
      <c r="CF398" s="16"/>
      <c r="CG398" s="16"/>
      <c r="CH398" s="16"/>
      <c r="CI398" s="16"/>
      <c r="CJ398" s="16"/>
      <c r="CK398" s="16"/>
      <c r="CL398" s="16"/>
      <c r="CM398" s="16"/>
      <c r="CN398" s="16"/>
      <c r="CO398" s="16"/>
      <c r="CP398" s="16"/>
      <c r="CQ398" s="16"/>
      <c r="CR398" s="16"/>
      <c r="CS398" s="16"/>
      <c r="CT398" s="16"/>
      <c r="CU398" s="16"/>
      <c r="CV398" s="16"/>
      <c r="CW398" s="16"/>
      <c r="CX398" s="16"/>
      <c r="CY398" s="16"/>
      <c r="CZ398" s="16"/>
      <c r="DA398" s="16"/>
      <c r="DB398" s="16"/>
      <c r="DC398" s="16"/>
      <c r="DD398" s="16"/>
      <c r="DE398" s="16"/>
      <c r="DF398" s="16"/>
      <c r="EK398" s="16"/>
      <c r="EL398" s="16"/>
      <c r="EM398" s="16"/>
      <c r="EN398" s="16"/>
      <c r="EO398" s="16"/>
      <c r="EP398" s="16"/>
      <c r="EQ398" s="16"/>
      <c r="ER398" s="16"/>
      <c r="ES398" s="16"/>
      <c r="ET398" s="16"/>
      <c r="EU398" s="16"/>
      <c r="EV398" s="16"/>
      <c r="EW398" s="16"/>
    </row>
    <row r="399" spans="1:153" s="46" customFormat="1" ht="12.75" customHeight="1">
      <c r="A399" s="8"/>
      <c r="B399" s="65"/>
      <c r="C399" s="1194"/>
      <c r="D399" s="125"/>
      <c r="E399" s="306"/>
      <c r="F399" s="2381"/>
      <c r="G399" s="2381"/>
      <c r="H399" s="2381"/>
      <c r="I399" s="2381"/>
      <c r="J399" s="2381"/>
      <c r="K399" s="2381"/>
      <c r="L399" s="2381"/>
      <c r="M399" s="2381"/>
      <c r="N399" s="2381"/>
      <c r="O399" s="2381"/>
      <c r="P399" s="2381"/>
      <c r="Q399" s="2381"/>
      <c r="R399" s="2381"/>
      <c r="S399" s="2381"/>
      <c r="T399" s="2381"/>
      <c r="U399" s="2381"/>
      <c r="V399" s="2381"/>
      <c r="W399" s="2381"/>
      <c r="X399" s="2381"/>
      <c r="Y399" s="2381"/>
      <c r="Z399" s="2381"/>
      <c r="AA399" s="2381"/>
      <c r="AB399" s="2381"/>
      <c r="AC399" s="2381"/>
      <c r="AD399" s="2381"/>
      <c r="AE399" s="2381"/>
      <c r="AF399" s="2381"/>
      <c r="AG399" s="681"/>
      <c r="AH399" s="681"/>
      <c r="AI399" s="681"/>
      <c r="AJ399" s="681"/>
      <c r="AK399" s="681"/>
      <c r="AL399" s="1319"/>
      <c r="AM399" s="16"/>
      <c r="AN399" s="439"/>
      <c r="BS399" s="16"/>
      <c r="BT399" s="16"/>
      <c r="BU399" s="16"/>
      <c r="BV399" s="16"/>
      <c r="BW399" s="16"/>
      <c r="BX399" s="16"/>
      <c r="BY399" s="16"/>
      <c r="BZ399" s="16"/>
      <c r="CA399" s="16"/>
      <c r="CB399" s="16"/>
      <c r="CC399" s="16"/>
      <c r="CD399" s="16"/>
      <c r="CE399" s="16"/>
      <c r="CF399" s="16"/>
      <c r="CG399" s="16"/>
      <c r="CH399" s="16"/>
      <c r="CI399" s="16"/>
      <c r="CJ399" s="16"/>
      <c r="CK399" s="16"/>
      <c r="CL399" s="16"/>
      <c r="CM399" s="16"/>
      <c r="CN399" s="16"/>
      <c r="CO399" s="16"/>
      <c r="CP399" s="16"/>
      <c r="CQ399" s="16"/>
      <c r="CR399" s="16"/>
      <c r="CS399" s="16"/>
      <c r="CT399" s="16"/>
      <c r="CU399" s="16"/>
      <c r="CV399" s="16"/>
      <c r="CW399" s="16"/>
      <c r="CX399" s="16"/>
      <c r="CY399" s="16"/>
      <c r="CZ399" s="16"/>
      <c r="DA399" s="16"/>
      <c r="DB399" s="16"/>
      <c r="DC399" s="16"/>
      <c r="DD399" s="16"/>
      <c r="DE399" s="16"/>
      <c r="DF399" s="16"/>
      <c r="EK399" s="16"/>
      <c r="EL399" s="16"/>
      <c r="EM399" s="16"/>
      <c r="EN399" s="16"/>
      <c r="EO399" s="16"/>
      <c r="EP399" s="16"/>
      <c r="EQ399" s="16"/>
      <c r="ER399" s="16"/>
      <c r="ES399" s="16"/>
      <c r="ET399" s="16"/>
      <c r="EU399" s="16"/>
      <c r="EV399" s="16"/>
      <c r="EW399" s="16"/>
    </row>
    <row r="400" spans="1:153" s="46" customFormat="1" ht="12.75" customHeight="1">
      <c r="A400" s="8"/>
      <c r="B400" s="65"/>
      <c r="C400" s="1194"/>
      <c r="D400" s="125"/>
      <c r="E400" s="306"/>
      <c r="F400" s="2381"/>
      <c r="G400" s="2381"/>
      <c r="H400" s="2381"/>
      <c r="I400" s="2381"/>
      <c r="J400" s="2381"/>
      <c r="K400" s="2381"/>
      <c r="L400" s="2381"/>
      <c r="M400" s="2381"/>
      <c r="N400" s="2381"/>
      <c r="O400" s="2381"/>
      <c r="P400" s="2381"/>
      <c r="Q400" s="2381"/>
      <c r="R400" s="2381"/>
      <c r="S400" s="2381"/>
      <c r="T400" s="2381"/>
      <c r="U400" s="2381"/>
      <c r="V400" s="2381"/>
      <c r="W400" s="2381"/>
      <c r="X400" s="2381"/>
      <c r="Y400" s="2381"/>
      <c r="Z400" s="2381"/>
      <c r="AA400" s="2381"/>
      <c r="AB400" s="2381"/>
      <c r="AC400" s="2381"/>
      <c r="AD400" s="2381"/>
      <c r="AE400" s="2381"/>
      <c r="AF400" s="2381"/>
      <c r="AG400" s="681"/>
      <c r="AH400" s="681"/>
      <c r="AI400" s="681"/>
      <c r="AJ400" s="681"/>
      <c r="AK400" s="681"/>
      <c r="AL400" s="1319"/>
      <c r="AM400" s="16"/>
      <c r="AN400" s="439"/>
      <c r="BS400" s="16"/>
      <c r="BT400" s="16"/>
      <c r="BU400" s="16"/>
      <c r="BV400" s="16"/>
      <c r="BW400" s="16"/>
      <c r="BX400" s="16"/>
      <c r="BY400" s="16"/>
      <c r="BZ400" s="16"/>
      <c r="CA400" s="16"/>
      <c r="CB400" s="16"/>
      <c r="CC400" s="16"/>
      <c r="CD400" s="16"/>
      <c r="CE400" s="16"/>
      <c r="CF400" s="16"/>
      <c r="CG400" s="16"/>
      <c r="CH400" s="16"/>
      <c r="EK400" s="16"/>
      <c r="EL400" s="16"/>
      <c r="EM400" s="16"/>
      <c r="EN400" s="16"/>
      <c r="EO400" s="16"/>
      <c r="EP400" s="16"/>
      <c r="EQ400" s="16"/>
      <c r="ER400" s="16"/>
      <c r="ES400" s="16"/>
      <c r="ET400" s="16"/>
      <c r="EU400" s="16"/>
      <c r="EV400" s="16"/>
      <c r="EW400" s="16"/>
    </row>
    <row r="401" spans="1:153" s="46" customFormat="1" ht="12.75" customHeight="1">
      <c r="A401" s="8"/>
      <c r="B401" s="65"/>
      <c r="C401" s="2331" t="s">
        <v>136</v>
      </c>
      <c r="D401" s="1786"/>
      <c r="E401" s="306"/>
      <c r="F401" s="1184" t="s">
        <v>2016</v>
      </c>
      <c r="G401" s="1185"/>
      <c r="H401" s="1185"/>
      <c r="I401" s="1185"/>
      <c r="J401" s="1185"/>
      <c r="K401" s="1185"/>
      <c r="L401" s="1185"/>
      <c r="M401" s="1185"/>
      <c r="N401" s="1185"/>
      <c r="O401" s="1185"/>
      <c r="P401" s="1185"/>
      <c r="Q401" s="1185"/>
      <c r="R401" s="1185"/>
      <c r="S401" s="1185"/>
      <c r="T401" s="1185"/>
      <c r="U401" s="1185"/>
      <c r="V401" s="1185"/>
      <c r="W401" s="1185"/>
      <c r="X401" s="1185"/>
      <c r="Y401" s="1185"/>
      <c r="Z401" s="1185"/>
      <c r="AA401" s="1185"/>
      <c r="AB401" s="1185"/>
      <c r="AC401" s="1185"/>
      <c r="AD401" s="1185"/>
      <c r="AE401" s="162"/>
      <c r="AF401" s="2036" t="s">
        <v>1067</v>
      </c>
      <c r="AG401" s="2036"/>
      <c r="AH401" s="2036"/>
      <c r="AI401" s="2036"/>
      <c r="AJ401" s="2036"/>
      <c r="AK401" s="2036"/>
      <c r="AL401" s="2343"/>
      <c r="AM401" s="1423"/>
      <c r="BS401" s="16"/>
      <c r="BT401" s="16"/>
      <c r="BU401" s="16"/>
      <c r="BV401" s="16"/>
      <c r="BW401" s="16"/>
      <c r="BX401" s="16"/>
      <c r="BY401" s="16"/>
      <c r="BZ401" s="16"/>
      <c r="CA401" s="16"/>
      <c r="CB401" s="16"/>
      <c r="CC401" s="16"/>
      <c r="CD401" s="16"/>
      <c r="CE401" s="16"/>
      <c r="CF401" s="16"/>
      <c r="CG401" s="16"/>
      <c r="CH401" s="16"/>
      <c r="EK401" s="16"/>
      <c r="EL401" s="16"/>
      <c r="EM401" s="16"/>
      <c r="EN401" s="16"/>
      <c r="EO401" s="16"/>
      <c r="EP401" s="16"/>
      <c r="EQ401" s="16"/>
      <c r="ER401" s="16"/>
      <c r="ES401" s="16"/>
      <c r="ET401" s="16"/>
      <c r="EU401" s="16"/>
      <c r="EV401" s="16"/>
      <c r="EW401" s="16"/>
    </row>
    <row r="402" spans="1:153" s="46" customFormat="1" ht="12.75" customHeight="1">
      <c r="A402" s="8"/>
      <c r="B402" s="65"/>
      <c r="C402" s="1194"/>
      <c r="D402" s="125"/>
      <c r="E402" s="306"/>
      <c r="F402" s="1320"/>
      <c r="G402" s="1320"/>
      <c r="H402" s="1320"/>
      <c r="I402" s="1320"/>
      <c r="J402" s="1320"/>
      <c r="K402" s="1320"/>
      <c r="L402" s="1320"/>
      <c r="M402" s="1320"/>
      <c r="N402" s="1320"/>
      <c r="O402" s="1320"/>
      <c r="P402" s="1320"/>
      <c r="Q402" s="1320"/>
      <c r="R402" s="1320"/>
      <c r="S402" s="1320"/>
      <c r="T402" s="1320"/>
      <c r="U402" s="1320"/>
      <c r="V402" s="1320"/>
      <c r="W402" s="1320"/>
      <c r="X402" s="1320"/>
      <c r="Y402" s="1320"/>
      <c r="Z402" s="1320"/>
      <c r="AA402" s="1320"/>
      <c r="AB402" s="1320"/>
      <c r="AC402" s="1320"/>
      <c r="AD402" s="1320"/>
      <c r="AE402" s="162"/>
      <c r="AF402" s="162"/>
      <c r="AG402" s="162"/>
      <c r="AH402" s="162"/>
      <c r="AI402" s="162"/>
      <c r="AJ402" s="162"/>
      <c r="AK402" s="162"/>
      <c r="AL402" s="1195"/>
      <c r="AM402" s="16"/>
      <c r="AN402" s="439"/>
      <c r="BS402" s="16"/>
      <c r="BT402" s="16"/>
      <c r="BU402" s="16"/>
      <c r="BV402" s="16"/>
      <c r="BW402" s="16"/>
      <c r="BX402" s="16"/>
      <c r="BY402" s="16"/>
      <c r="BZ402" s="16"/>
      <c r="CA402" s="16"/>
      <c r="CB402" s="16"/>
      <c r="CC402" s="16"/>
      <c r="CD402" s="16"/>
      <c r="CE402" s="16"/>
      <c r="CF402" s="16"/>
      <c r="CG402" s="16"/>
      <c r="CH402" s="16"/>
      <c r="EK402" s="16"/>
      <c r="EL402" s="16"/>
      <c r="EM402" s="16"/>
      <c r="EN402" s="16"/>
      <c r="EO402" s="16"/>
      <c r="EP402" s="16"/>
      <c r="EQ402" s="16"/>
      <c r="ER402" s="16"/>
      <c r="ES402" s="16"/>
      <c r="ET402" s="16"/>
      <c r="EU402" s="16"/>
      <c r="EV402" s="16"/>
      <c r="EW402" s="16"/>
    </row>
    <row r="403" spans="1:153" s="46" customFormat="1" ht="12.75" customHeight="1">
      <c r="A403" s="8"/>
      <c r="B403" s="65"/>
      <c r="C403" s="2331" t="s">
        <v>119</v>
      </c>
      <c r="D403" s="1786"/>
      <c r="E403" s="306"/>
      <c r="F403" s="1197" t="s">
        <v>2017</v>
      </c>
      <c r="G403" s="1320"/>
      <c r="H403" s="1320"/>
      <c r="I403" s="1320"/>
      <c r="J403" s="1320"/>
      <c r="K403" s="1320"/>
      <c r="L403" s="1320"/>
      <c r="M403" s="1320"/>
      <c r="N403" s="1320"/>
      <c r="O403" s="1320"/>
      <c r="P403" s="1320"/>
      <c r="Q403" s="1320"/>
      <c r="R403" s="1320"/>
      <c r="S403" s="1320"/>
      <c r="T403" s="1320"/>
      <c r="U403" s="1320"/>
      <c r="V403" s="1320"/>
      <c r="W403" s="1320"/>
      <c r="X403" s="1320"/>
      <c r="Y403" s="1320"/>
      <c r="Z403" s="1320"/>
      <c r="AA403" s="1320"/>
      <c r="AB403" s="1320"/>
      <c r="AC403" s="1320"/>
      <c r="AD403" s="1320"/>
      <c r="AE403" s="162"/>
      <c r="AF403" s="2036" t="s">
        <v>355</v>
      </c>
      <c r="AG403" s="2036"/>
      <c r="AH403" s="2036"/>
      <c r="AI403" s="2036"/>
      <c r="AJ403" s="2036"/>
      <c r="AK403" s="2036"/>
      <c r="AL403" s="2343"/>
      <c r="AM403" s="16"/>
      <c r="AN403" s="439"/>
      <c r="BS403" s="16"/>
      <c r="BT403" s="16"/>
      <c r="BU403" s="16"/>
      <c r="CF403" s="16"/>
      <c r="CG403" s="16"/>
      <c r="CH403" s="16"/>
      <c r="EK403" s="16"/>
      <c r="EL403" s="16"/>
      <c r="EM403" s="16"/>
      <c r="EN403" s="16"/>
      <c r="EO403" s="16"/>
      <c r="EP403" s="16"/>
      <c r="EQ403" s="16"/>
      <c r="ER403" s="16"/>
      <c r="ES403" s="16"/>
      <c r="ET403" s="16"/>
      <c r="EU403" s="16"/>
      <c r="EV403" s="16"/>
      <c r="EW403" s="16"/>
    </row>
    <row r="404" spans="1:153" s="46" customFormat="1" ht="12.75" customHeight="1">
      <c r="A404" s="8"/>
      <c r="B404" s="65"/>
      <c r="C404" s="1194"/>
      <c r="D404" s="125"/>
      <c r="E404" s="306"/>
      <c r="F404" s="1197"/>
      <c r="G404" s="1197"/>
      <c r="H404" s="1197"/>
      <c r="I404" s="1197"/>
      <c r="J404" s="1197"/>
      <c r="K404" s="1197"/>
      <c r="L404" s="1197"/>
      <c r="M404" s="1197"/>
      <c r="N404" s="1197"/>
      <c r="O404" s="1197"/>
      <c r="P404" s="1197"/>
      <c r="Q404" s="1197"/>
      <c r="R404" s="1197"/>
      <c r="S404" s="1197"/>
      <c r="T404" s="1197"/>
      <c r="U404" s="1197"/>
      <c r="V404" s="1197"/>
      <c r="W404" s="1197"/>
      <c r="X404" s="1197"/>
      <c r="Y404" s="1197"/>
      <c r="Z404" s="1197"/>
      <c r="AA404" s="1197"/>
      <c r="AB404" s="1197"/>
      <c r="AC404" s="1197"/>
      <c r="AD404" s="1197"/>
      <c r="AE404" s="71"/>
      <c r="AF404" s="162"/>
      <c r="AG404" s="162"/>
      <c r="AH404" s="162"/>
      <c r="AI404" s="162"/>
      <c r="AJ404" s="162"/>
      <c r="AK404" s="162"/>
      <c r="AL404" s="1195"/>
      <c r="AM404" s="16"/>
      <c r="AN404" s="439"/>
      <c r="BS404" s="16"/>
      <c r="BT404" s="16"/>
      <c r="BU404" s="16"/>
      <c r="CF404" s="16"/>
      <c r="CG404" s="16"/>
      <c r="CH404" s="16"/>
      <c r="DG404" s="16"/>
      <c r="DH404" s="16"/>
      <c r="DI404" s="16"/>
      <c r="DJ404" s="16"/>
      <c r="DK404" s="16"/>
      <c r="DL404" s="16"/>
      <c r="DM404" s="16"/>
      <c r="DN404" s="16"/>
      <c r="DO404" s="16"/>
      <c r="DP404" s="16"/>
      <c r="DQ404" s="16"/>
      <c r="DR404" s="16"/>
      <c r="DS404" s="16"/>
      <c r="DT404" s="16"/>
      <c r="DU404" s="16"/>
      <c r="DV404" s="16"/>
      <c r="DW404" s="16"/>
      <c r="DX404" s="16"/>
      <c r="DY404" s="16"/>
      <c r="DZ404" s="16"/>
      <c r="EA404" s="16"/>
      <c r="EB404" s="16"/>
      <c r="EC404" s="16"/>
      <c r="ED404" s="16"/>
      <c r="EE404" s="16"/>
      <c r="EF404" s="16"/>
      <c r="EG404" s="16"/>
      <c r="EH404" s="16"/>
      <c r="EI404" s="16"/>
      <c r="EJ404" s="16"/>
      <c r="EK404" s="16"/>
      <c r="EL404" s="16"/>
      <c r="EM404" s="16"/>
      <c r="EN404" s="16"/>
      <c r="EO404" s="16"/>
      <c r="EP404" s="16"/>
      <c r="EQ404" s="16"/>
      <c r="ER404" s="16"/>
      <c r="ES404" s="16"/>
      <c r="ET404" s="16"/>
      <c r="EU404" s="16"/>
      <c r="EV404" s="16"/>
      <c r="EW404" s="16"/>
    </row>
    <row r="405" spans="1:153" s="46" customFormat="1" ht="12.75" customHeight="1">
      <c r="A405" s="8"/>
      <c r="B405" s="65"/>
      <c r="C405" s="1199"/>
      <c r="D405" s="1200"/>
      <c r="E405" s="1201"/>
      <c r="F405" s="1202" t="s">
        <v>2015</v>
      </c>
      <c r="G405" s="1196"/>
      <c r="H405" s="1196"/>
      <c r="I405" s="1196"/>
      <c r="J405" s="1196"/>
      <c r="K405" s="1196"/>
      <c r="L405" s="1196"/>
      <c r="M405" s="1196"/>
      <c r="N405" s="1196"/>
      <c r="O405" s="1196"/>
      <c r="P405" s="1196"/>
      <c r="Q405" s="1196"/>
      <c r="R405" s="1196"/>
      <c r="S405" s="1196"/>
      <c r="T405" s="1196"/>
      <c r="U405" s="1196"/>
      <c r="V405" s="1196"/>
      <c r="W405" s="1196"/>
      <c r="X405" s="1196"/>
      <c r="Y405" s="1196"/>
      <c r="Z405" s="1196"/>
      <c r="AA405" s="1196"/>
      <c r="AB405" s="1196"/>
      <c r="AC405" s="1196"/>
      <c r="AD405" s="1196"/>
      <c r="AE405" s="1203"/>
      <c r="AF405" s="1204"/>
      <c r="AG405" s="1203"/>
      <c r="AH405" s="1205"/>
      <c r="AI405" s="1205"/>
      <c r="AJ405" s="1205"/>
      <c r="AK405" s="1205"/>
      <c r="AL405" s="1206"/>
      <c r="AM405" s="16"/>
      <c r="AN405" s="439"/>
      <c r="BS405" s="16"/>
      <c r="BT405" s="16"/>
      <c r="BU405" s="16"/>
      <c r="CF405" s="16"/>
      <c r="CG405" s="16"/>
      <c r="CH405" s="16"/>
      <c r="DG405" s="16"/>
      <c r="DH405" s="16"/>
      <c r="DQ405" s="16"/>
      <c r="DR405" s="16"/>
      <c r="DS405" s="16"/>
      <c r="DT405" s="16"/>
      <c r="DU405" s="16"/>
      <c r="DV405" s="16"/>
      <c r="DW405" s="16"/>
      <c r="DX405" s="16"/>
      <c r="DY405" s="16"/>
      <c r="DZ405" s="16"/>
      <c r="EA405" s="16"/>
      <c r="EB405" s="16"/>
      <c r="EC405" s="16"/>
      <c r="ED405" s="16"/>
      <c r="EE405" s="16"/>
      <c r="EF405" s="16"/>
      <c r="EG405" s="16"/>
      <c r="EH405" s="16"/>
      <c r="EI405" s="16"/>
      <c r="EJ405" s="16"/>
      <c r="EK405" s="16"/>
      <c r="EL405" s="16"/>
      <c r="EM405" s="16"/>
      <c r="EN405" s="16"/>
      <c r="EO405" s="16"/>
      <c r="EP405" s="16"/>
      <c r="EQ405" s="16"/>
      <c r="ER405" s="16"/>
      <c r="ES405" s="16"/>
      <c r="ET405" s="16"/>
      <c r="EU405" s="16"/>
      <c r="EV405" s="16"/>
      <c r="EW405" s="16"/>
    </row>
    <row r="406" spans="1:153" s="46" customFormat="1" ht="12.75" customHeight="1">
      <c r="A406" s="8"/>
      <c r="B406" s="65"/>
      <c r="C406" s="65"/>
      <c r="D406" s="65"/>
      <c r="E406" s="306"/>
      <c r="F406" s="436"/>
      <c r="G406" s="436"/>
      <c r="H406" s="436"/>
      <c r="I406" s="436"/>
      <c r="J406" s="436"/>
      <c r="K406" s="436"/>
      <c r="L406" s="436"/>
      <c r="M406" s="436"/>
      <c r="N406" s="436"/>
      <c r="O406" s="436"/>
      <c r="P406" s="436"/>
      <c r="Q406" s="436"/>
      <c r="R406" s="436"/>
      <c r="S406" s="436"/>
      <c r="T406" s="436"/>
      <c r="U406" s="436"/>
      <c r="V406" s="436"/>
      <c r="W406" s="436"/>
      <c r="X406" s="436"/>
      <c r="Y406" s="436"/>
      <c r="Z406" s="436"/>
      <c r="AA406" s="436"/>
      <c r="AB406" s="436"/>
      <c r="AC406" s="436"/>
      <c r="AD406" s="436"/>
      <c r="AE406" s="8"/>
      <c r="AF406" s="63"/>
      <c r="AG406" s="8"/>
      <c r="AM406" s="16"/>
      <c r="AN406" s="439"/>
      <c r="BS406" s="16"/>
      <c r="BT406" s="16"/>
      <c r="BU406" s="16"/>
      <c r="CF406" s="16"/>
      <c r="CG406" s="16"/>
      <c r="CH406" s="16"/>
      <c r="DG406" s="16"/>
      <c r="DH406" s="16"/>
      <c r="DQ406" s="16"/>
      <c r="DR406" s="16"/>
      <c r="DS406" s="16"/>
      <c r="DT406" s="16"/>
      <c r="DU406" s="16"/>
      <c r="DV406" s="16"/>
      <c r="DW406" s="16"/>
      <c r="DX406" s="16"/>
      <c r="DY406" s="16"/>
      <c r="DZ406" s="16"/>
      <c r="EA406" s="16"/>
      <c r="EB406" s="16"/>
      <c r="EC406" s="16"/>
      <c r="ED406" s="16"/>
      <c r="EE406" s="16"/>
      <c r="EF406" s="16"/>
      <c r="EG406" s="16"/>
      <c r="EH406" s="16"/>
      <c r="EI406" s="16"/>
      <c r="EJ406" s="16"/>
      <c r="EK406" s="16"/>
      <c r="EL406" s="16"/>
      <c r="EM406" s="16"/>
      <c r="EN406" s="16"/>
      <c r="EO406" s="16"/>
      <c r="EP406" s="16"/>
      <c r="EQ406" s="16"/>
      <c r="ER406" s="16"/>
      <c r="ES406" s="16"/>
      <c r="ET406" s="16"/>
      <c r="EU406" s="16"/>
      <c r="EV406" s="16"/>
      <c r="EW406" s="16"/>
    </row>
    <row r="407" spans="1:153" s="46" customFormat="1" ht="12.75" customHeight="1">
      <c r="A407" s="8"/>
      <c r="B407" s="65"/>
      <c r="C407" s="1186"/>
      <c r="D407" s="1187"/>
      <c r="E407" s="1188" t="s">
        <v>209</v>
      </c>
      <c r="F407" s="2349" t="s">
        <v>2019</v>
      </c>
      <c r="G407" s="2349"/>
      <c r="H407" s="2349"/>
      <c r="I407" s="2349"/>
      <c r="J407" s="2349"/>
      <c r="K407" s="2349"/>
      <c r="L407" s="2349"/>
      <c r="M407" s="2349"/>
      <c r="N407" s="2349"/>
      <c r="O407" s="2349"/>
      <c r="P407" s="2349"/>
      <c r="Q407" s="2349"/>
      <c r="R407" s="2349"/>
      <c r="S407" s="2349"/>
      <c r="T407" s="2349"/>
      <c r="U407" s="2349"/>
      <c r="V407" s="2349"/>
      <c r="W407" s="2349"/>
      <c r="X407" s="2349"/>
      <c r="Y407" s="2349"/>
      <c r="Z407" s="2349"/>
      <c r="AA407" s="2349"/>
      <c r="AB407" s="2349"/>
      <c r="AC407" s="2349"/>
      <c r="AD407" s="2349"/>
      <c r="AE407" s="2349"/>
      <c r="AF407" s="2349"/>
      <c r="AG407" s="1330"/>
      <c r="AH407" s="1330"/>
      <c r="AI407" s="1330"/>
      <c r="AJ407" s="1330"/>
      <c r="AK407" s="1330"/>
      <c r="AL407" s="1325"/>
      <c r="AM407" s="16"/>
      <c r="AN407" s="439"/>
      <c r="BS407" s="16"/>
      <c r="BT407" s="16"/>
      <c r="BU407" s="16"/>
      <c r="BV407" s="16"/>
      <c r="BW407" s="16"/>
      <c r="BX407" s="16"/>
      <c r="BY407" s="16"/>
      <c r="BZ407" s="16"/>
      <c r="CA407" s="16"/>
      <c r="CB407" s="16"/>
      <c r="CC407" s="16"/>
      <c r="CD407" s="16"/>
      <c r="CE407" s="16"/>
      <c r="CF407" s="16"/>
      <c r="CG407" s="16"/>
      <c r="CH407" s="16"/>
      <c r="DG407" s="16"/>
      <c r="DH407" s="16"/>
      <c r="DQ407" s="16"/>
      <c r="DR407" s="16"/>
      <c r="DS407" s="16"/>
      <c r="DT407" s="16"/>
      <c r="DU407" s="16"/>
      <c r="DV407" s="16"/>
      <c r="DW407" s="16"/>
      <c r="DX407" s="16"/>
      <c r="DY407" s="16"/>
      <c r="DZ407" s="16"/>
      <c r="EA407" s="16"/>
      <c r="EB407" s="16"/>
      <c r="EC407" s="16"/>
      <c r="ED407" s="16"/>
      <c r="EE407" s="16"/>
      <c r="EF407" s="16"/>
      <c r="EG407" s="16"/>
      <c r="EH407" s="16"/>
      <c r="EI407" s="16"/>
      <c r="EJ407" s="16"/>
      <c r="EK407" s="16"/>
      <c r="EL407" s="16"/>
      <c r="EM407" s="16"/>
      <c r="EN407" s="16"/>
      <c r="EO407" s="16"/>
      <c r="EP407" s="16"/>
      <c r="EQ407" s="16"/>
      <c r="ER407" s="16"/>
      <c r="ES407" s="16"/>
      <c r="ET407" s="16"/>
      <c r="EU407" s="16"/>
      <c r="EV407" s="16"/>
      <c r="EW407" s="16"/>
    </row>
    <row r="408" spans="1:153" s="46" customFormat="1" ht="12.75" customHeight="1">
      <c r="A408" s="8"/>
      <c r="B408" s="65"/>
      <c r="C408" s="1194"/>
      <c r="D408" s="125"/>
      <c r="E408" s="306"/>
      <c r="F408" s="2350"/>
      <c r="G408" s="2350"/>
      <c r="H408" s="2350"/>
      <c r="I408" s="2350"/>
      <c r="J408" s="2350"/>
      <c r="K408" s="2350"/>
      <c r="L408" s="2350"/>
      <c r="M408" s="2350"/>
      <c r="N408" s="2350"/>
      <c r="O408" s="2350"/>
      <c r="P408" s="2350"/>
      <c r="Q408" s="2350"/>
      <c r="R408" s="2350"/>
      <c r="S408" s="2350"/>
      <c r="T408" s="2350"/>
      <c r="U408" s="2350"/>
      <c r="V408" s="2350"/>
      <c r="W408" s="2350"/>
      <c r="X408" s="2350"/>
      <c r="Y408" s="2350"/>
      <c r="Z408" s="2350"/>
      <c r="AA408" s="2350"/>
      <c r="AB408" s="2350"/>
      <c r="AC408" s="2350"/>
      <c r="AD408" s="2350"/>
      <c r="AE408" s="2350"/>
      <c r="AF408" s="2350"/>
      <c r="AG408" s="681"/>
      <c r="AH408" s="681"/>
      <c r="AI408" s="681"/>
      <c r="AJ408" s="681"/>
      <c r="AK408" s="681"/>
      <c r="AL408" s="1319"/>
      <c r="AM408" s="16"/>
      <c r="AN408" s="439"/>
      <c r="BS408" s="16"/>
      <c r="BT408" s="16"/>
      <c r="BU408" s="16"/>
      <c r="BV408" s="16"/>
      <c r="BW408" s="16"/>
      <c r="BX408" s="16"/>
      <c r="BY408" s="16"/>
      <c r="BZ408" s="16"/>
      <c r="CA408" s="16"/>
      <c r="CB408" s="16"/>
      <c r="CC408" s="16"/>
      <c r="CD408" s="16"/>
      <c r="CE408" s="16"/>
      <c r="CF408" s="16"/>
      <c r="CG408" s="16"/>
      <c r="CH408" s="16"/>
      <c r="DG408" s="16"/>
      <c r="DH408" s="16"/>
      <c r="DQ408" s="16"/>
      <c r="DR408" s="16"/>
      <c r="DS408" s="16"/>
      <c r="DT408" s="16"/>
      <c r="DU408" s="16"/>
      <c r="DV408" s="16"/>
      <c r="DW408" s="16"/>
      <c r="DX408" s="16"/>
      <c r="DY408" s="16"/>
      <c r="DZ408" s="16"/>
      <c r="EA408" s="16"/>
      <c r="EB408" s="16"/>
      <c r="EC408" s="16"/>
      <c r="ED408" s="16"/>
      <c r="EE408" s="16"/>
      <c r="EF408" s="16"/>
      <c r="EG408" s="16"/>
      <c r="EH408" s="16"/>
      <c r="EI408" s="16"/>
      <c r="EJ408" s="16"/>
      <c r="EK408" s="16"/>
      <c r="EL408" s="16"/>
      <c r="EM408" s="16"/>
      <c r="EN408" s="16"/>
      <c r="EO408" s="16"/>
      <c r="EP408" s="16"/>
      <c r="EQ408" s="16"/>
      <c r="ER408" s="16"/>
      <c r="ES408" s="16"/>
      <c r="ET408" s="16"/>
      <c r="EU408" s="16"/>
      <c r="EV408" s="16"/>
      <c r="EW408" s="16"/>
    </row>
    <row r="409" spans="1:153">
      <c r="A409" s="8"/>
      <c r="C409" s="1194"/>
      <c r="D409" s="125"/>
      <c r="E409" s="306"/>
      <c r="F409" s="2350"/>
      <c r="G409" s="2350"/>
      <c r="H409" s="2350"/>
      <c r="I409" s="2350"/>
      <c r="J409" s="2350"/>
      <c r="K409" s="2350"/>
      <c r="L409" s="2350"/>
      <c r="M409" s="2350"/>
      <c r="N409" s="2350"/>
      <c r="O409" s="2350"/>
      <c r="P409" s="2350"/>
      <c r="Q409" s="2350"/>
      <c r="R409" s="2350"/>
      <c r="S409" s="2350"/>
      <c r="T409" s="2350"/>
      <c r="U409" s="2350"/>
      <c r="V409" s="2350"/>
      <c r="W409" s="2350"/>
      <c r="X409" s="2350"/>
      <c r="Y409" s="2350"/>
      <c r="Z409" s="2350"/>
      <c r="AA409" s="2350"/>
      <c r="AB409" s="2350"/>
      <c r="AC409" s="2350"/>
      <c r="AD409" s="2350"/>
      <c r="AE409" s="2350"/>
      <c r="AF409" s="2350"/>
      <c r="AG409" s="681"/>
      <c r="AH409" s="681"/>
      <c r="AI409" s="681"/>
      <c r="AJ409" s="681"/>
      <c r="AK409" s="681"/>
      <c r="AL409" s="1319"/>
      <c r="AM409" s="16"/>
      <c r="BS409" s="16"/>
      <c r="BT409" s="16"/>
      <c r="BU409" s="16"/>
      <c r="BV409" s="16"/>
      <c r="BW409" s="16"/>
      <c r="BX409" s="16"/>
      <c r="BY409" s="16"/>
      <c r="BZ409" s="16"/>
      <c r="CA409" s="16"/>
      <c r="CB409" s="16"/>
      <c r="CC409" s="16"/>
      <c r="CD409" s="16"/>
      <c r="CE409" s="16"/>
      <c r="CF409" s="16"/>
      <c r="CG409" s="16"/>
      <c r="CH409" s="16"/>
      <c r="DG409" s="16"/>
      <c r="DH409" s="16"/>
      <c r="DQ409" s="16"/>
      <c r="DR409" s="16"/>
      <c r="DS409" s="16"/>
      <c r="DT409" s="16"/>
      <c r="DU409" s="16"/>
      <c r="DV409" s="16"/>
      <c r="DW409" s="16"/>
      <c r="DX409" s="16"/>
      <c r="DY409" s="16"/>
      <c r="DZ409" s="16"/>
      <c r="EA409" s="16"/>
      <c r="EB409" s="16"/>
      <c r="EC409" s="16"/>
      <c r="ED409" s="16"/>
      <c r="EE409" s="16"/>
      <c r="EF409" s="16"/>
      <c r="EG409" s="16"/>
      <c r="EH409" s="16"/>
      <c r="EI409" s="16"/>
      <c r="EJ409" s="16"/>
      <c r="EK409" s="16"/>
      <c r="EL409" s="16"/>
      <c r="EM409" s="16"/>
      <c r="EN409" s="16"/>
      <c r="EO409" s="16"/>
      <c r="EP409" s="16"/>
      <c r="EQ409" s="16"/>
      <c r="ER409" s="16"/>
      <c r="ES409" s="16"/>
      <c r="ET409" s="16"/>
      <c r="EU409" s="16"/>
      <c r="EV409" s="16"/>
      <c r="EW409" s="16"/>
    </row>
    <row r="410" spans="1:153" s="46" customFormat="1" ht="12.75" customHeight="1">
      <c r="A410" s="8"/>
      <c r="B410" s="65"/>
      <c r="C410" s="1194"/>
      <c r="D410" s="125"/>
      <c r="E410" s="306"/>
      <c r="F410" s="2350"/>
      <c r="G410" s="2350"/>
      <c r="H410" s="2350"/>
      <c r="I410" s="2350"/>
      <c r="J410" s="2350"/>
      <c r="K410" s="2350"/>
      <c r="L410" s="2350"/>
      <c r="M410" s="2350"/>
      <c r="N410" s="2350"/>
      <c r="O410" s="2350"/>
      <c r="P410" s="2350"/>
      <c r="Q410" s="2350"/>
      <c r="R410" s="2350"/>
      <c r="S410" s="2350"/>
      <c r="T410" s="2350"/>
      <c r="U410" s="2350"/>
      <c r="V410" s="2350"/>
      <c r="W410" s="2350"/>
      <c r="X410" s="2350"/>
      <c r="Y410" s="2350"/>
      <c r="Z410" s="2350"/>
      <c r="AA410" s="2350"/>
      <c r="AB410" s="2350"/>
      <c r="AC410" s="2350"/>
      <c r="AD410" s="2350"/>
      <c r="AE410" s="2350"/>
      <c r="AF410" s="2350"/>
      <c r="AG410" s="681"/>
      <c r="AH410" s="681"/>
      <c r="AI410" s="681"/>
      <c r="AJ410" s="681"/>
      <c r="AK410" s="681"/>
      <c r="AL410" s="1319"/>
      <c r="AM410" s="16"/>
      <c r="AN410" s="439"/>
      <c r="BS410" s="16"/>
      <c r="BT410" s="16"/>
      <c r="BY410" s="16"/>
      <c r="BZ410" s="16"/>
      <c r="CA410" s="16"/>
      <c r="CB410" s="16"/>
      <c r="CC410" s="16"/>
      <c r="CD410" s="16"/>
      <c r="CE410" s="16"/>
      <c r="CF410" s="16"/>
      <c r="CG410" s="16"/>
      <c r="CH410" s="16"/>
      <c r="DG410" s="16"/>
      <c r="DH410" s="16"/>
      <c r="DQ410" s="16"/>
      <c r="DR410" s="16"/>
      <c r="DS410" s="16"/>
      <c r="DT410" s="16"/>
      <c r="DU410" s="16"/>
      <c r="DV410" s="16"/>
      <c r="DW410" s="16"/>
      <c r="DX410" s="16"/>
      <c r="DY410" s="16"/>
      <c r="DZ410" s="16"/>
      <c r="EA410" s="16"/>
      <c r="EB410" s="16"/>
      <c r="EC410" s="16"/>
      <c r="ED410" s="16"/>
      <c r="EE410" s="16"/>
      <c r="EF410" s="16"/>
      <c r="EG410" s="16"/>
      <c r="EH410" s="16"/>
      <c r="EI410" s="16"/>
      <c r="EJ410" s="16"/>
      <c r="EK410" s="16"/>
      <c r="EL410" s="16"/>
      <c r="EM410" s="16"/>
      <c r="EN410" s="16"/>
      <c r="EO410" s="16"/>
      <c r="EP410" s="16"/>
      <c r="EQ410" s="16"/>
      <c r="ER410" s="16"/>
      <c r="ES410" s="16"/>
      <c r="ET410" s="16"/>
      <c r="EU410" s="16"/>
      <c r="EV410" s="16"/>
      <c r="EW410" s="16"/>
    </row>
    <row r="411" spans="1:153" s="46" customFormat="1" ht="12.75" customHeight="1">
      <c r="A411" s="8"/>
      <c r="B411" s="65"/>
      <c r="C411" s="2331" t="s">
        <v>136</v>
      </c>
      <c r="D411" s="1786"/>
      <c r="E411" s="306"/>
      <c r="F411" s="1184" t="s">
        <v>2018</v>
      </c>
      <c r="G411" s="1185"/>
      <c r="H411" s="1185"/>
      <c r="I411" s="1185"/>
      <c r="J411" s="1185"/>
      <c r="K411" s="1185"/>
      <c r="L411" s="1185"/>
      <c r="M411" s="1185"/>
      <c r="N411" s="1185"/>
      <c r="O411" s="1185"/>
      <c r="P411" s="1185"/>
      <c r="Q411" s="1185"/>
      <c r="R411" s="1185"/>
      <c r="S411" s="1185"/>
      <c r="T411" s="1185"/>
      <c r="U411" s="1185"/>
      <c r="V411" s="1185"/>
      <c r="W411" s="1185"/>
      <c r="X411" s="1185"/>
      <c r="Y411" s="1185"/>
      <c r="Z411" s="1185"/>
      <c r="AA411" s="1185"/>
      <c r="AB411" s="1185"/>
      <c r="AC411" s="1185"/>
      <c r="AD411" s="1185"/>
      <c r="AE411" s="162"/>
      <c r="AF411" s="2036" t="s">
        <v>355</v>
      </c>
      <c r="AG411" s="2036"/>
      <c r="AH411" s="2036"/>
      <c r="AI411" s="2036"/>
      <c r="AJ411" s="2036"/>
      <c r="AK411" s="2036"/>
      <c r="AL411" s="2343"/>
      <c r="AM411" s="16"/>
      <c r="AN411" s="439"/>
      <c r="BS411" s="16"/>
      <c r="BT411" s="16"/>
      <c r="BY411" s="16"/>
      <c r="BZ411" s="16"/>
      <c r="CA411" s="16"/>
      <c r="CB411" s="16"/>
      <c r="CC411" s="16"/>
      <c r="CD411" s="16"/>
      <c r="CE411" s="16"/>
      <c r="CF411" s="16"/>
      <c r="CG411" s="16"/>
      <c r="CH411" s="16"/>
      <c r="DG411" s="16"/>
      <c r="DH411" s="16"/>
      <c r="DQ411" s="16"/>
      <c r="DR411" s="16"/>
      <c r="DS411" s="16"/>
      <c r="DT411" s="16"/>
      <c r="DU411" s="16"/>
      <c r="DV411" s="16"/>
      <c r="DW411" s="16"/>
      <c r="DX411" s="16"/>
      <c r="DY411" s="16"/>
      <c r="DZ411" s="16"/>
      <c r="EA411" s="16"/>
      <c r="EB411" s="16"/>
      <c r="EC411" s="16"/>
      <c r="ED411" s="16"/>
      <c r="EE411" s="16"/>
      <c r="EF411" s="16"/>
      <c r="EG411" s="16"/>
      <c r="EH411" s="16"/>
      <c r="EI411" s="16"/>
      <c r="EJ411" s="16"/>
      <c r="EK411" s="16"/>
      <c r="EL411" s="16"/>
      <c r="EM411" s="16"/>
      <c r="EN411" s="16"/>
      <c r="EO411" s="16"/>
      <c r="EP411" s="16"/>
      <c r="EQ411" s="16"/>
      <c r="ER411" s="16"/>
      <c r="ES411" s="16"/>
      <c r="ET411" s="16"/>
      <c r="EU411" s="16"/>
      <c r="EV411" s="16"/>
      <c r="EW411" s="16"/>
    </row>
    <row r="412" spans="1:153" s="46" customFormat="1" ht="12.75" customHeight="1">
      <c r="A412" s="8"/>
      <c r="B412" s="65"/>
      <c r="C412" s="1194"/>
      <c r="D412" s="125"/>
      <c r="E412" s="306"/>
      <c r="F412" s="162"/>
      <c r="G412" s="1185"/>
      <c r="H412" s="1185"/>
      <c r="I412" s="1185"/>
      <c r="J412" s="1185"/>
      <c r="K412" s="1185"/>
      <c r="L412" s="1185"/>
      <c r="M412" s="1185"/>
      <c r="N412" s="1185"/>
      <c r="O412" s="1185"/>
      <c r="P412" s="1185"/>
      <c r="Q412" s="1185"/>
      <c r="R412" s="1185"/>
      <c r="S412" s="1185"/>
      <c r="T412" s="1185"/>
      <c r="U412" s="1185"/>
      <c r="V412" s="1185"/>
      <c r="W412" s="1185"/>
      <c r="X412" s="1185"/>
      <c r="Y412" s="1185"/>
      <c r="Z412" s="1185"/>
      <c r="AA412" s="1185"/>
      <c r="AB412" s="1185"/>
      <c r="AC412" s="1185"/>
      <c r="AD412" s="1185"/>
      <c r="AE412" s="162"/>
      <c r="AF412" s="162"/>
      <c r="AG412" s="162"/>
      <c r="AH412" s="162"/>
      <c r="AI412" s="162"/>
      <c r="AJ412" s="162"/>
      <c r="AK412" s="162"/>
      <c r="AL412" s="1195"/>
      <c r="AM412" s="16"/>
      <c r="AN412" s="439"/>
      <c r="BS412" s="16"/>
      <c r="BT412" s="16"/>
      <c r="BY412" s="16"/>
      <c r="BZ412" s="16"/>
      <c r="CA412" s="16"/>
      <c r="CB412" s="16"/>
      <c r="CC412" s="16"/>
      <c r="CD412" s="16"/>
      <c r="CE412" s="16"/>
      <c r="CF412" s="16"/>
      <c r="CG412" s="16"/>
      <c r="CH412" s="16"/>
      <c r="CI412" s="16"/>
      <c r="CJ412" s="16"/>
      <c r="CK412" s="16"/>
      <c r="CL412" s="16"/>
      <c r="CM412" s="16"/>
      <c r="CN412" s="16"/>
      <c r="CO412" s="16"/>
      <c r="CP412" s="16"/>
      <c r="CQ412" s="16"/>
      <c r="CR412" s="16"/>
      <c r="CS412" s="16"/>
      <c r="CT412" s="16"/>
      <c r="CU412" s="16"/>
      <c r="CV412" s="16"/>
      <c r="CW412" s="16"/>
      <c r="CX412" s="16"/>
      <c r="CY412" s="16"/>
      <c r="CZ412" s="16"/>
      <c r="DA412" s="16"/>
      <c r="DB412" s="16"/>
      <c r="DC412" s="16"/>
      <c r="DD412" s="16"/>
      <c r="DE412" s="16"/>
      <c r="DF412" s="16"/>
      <c r="DG412" s="16"/>
      <c r="DH412" s="16"/>
      <c r="DQ412" s="16"/>
      <c r="DR412" s="16"/>
      <c r="DS412" s="16"/>
      <c r="DT412" s="16"/>
      <c r="DU412" s="16"/>
      <c r="DV412" s="16"/>
      <c r="DW412" s="16"/>
      <c r="DX412" s="16"/>
      <c r="DY412" s="16"/>
      <c r="DZ412" s="16"/>
      <c r="EA412" s="16"/>
      <c r="EB412" s="16"/>
      <c r="EC412" s="16"/>
      <c r="ED412" s="16"/>
      <c r="EE412" s="16"/>
      <c r="EF412" s="16"/>
      <c r="EG412" s="16"/>
      <c r="EH412" s="16"/>
      <c r="EI412" s="16"/>
      <c r="EJ412" s="16"/>
      <c r="EK412" s="16"/>
      <c r="EL412" s="16"/>
      <c r="EM412" s="16"/>
      <c r="EN412" s="16"/>
      <c r="EO412" s="16"/>
      <c r="EP412" s="16"/>
      <c r="EQ412" s="16"/>
      <c r="ER412" s="16"/>
      <c r="ES412" s="16"/>
      <c r="ET412" s="16"/>
      <c r="EU412" s="16"/>
      <c r="EV412" s="16"/>
      <c r="EW412" s="16"/>
    </row>
    <row r="413" spans="1:153" s="46" customFormat="1" ht="12.75" customHeight="1">
      <c r="A413" s="8"/>
      <c r="B413" s="65"/>
      <c r="C413" s="2331" t="s">
        <v>136</v>
      </c>
      <c r="D413" s="1786"/>
      <c r="E413" s="350"/>
      <c r="F413" s="1184" t="s">
        <v>1068</v>
      </c>
      <c r="G413" s="1185"/>
      <c r="H413" s="1185"/>
      <c r="I413" s="1185"/>
      <c r="J413" s="1185"/>
      <c r="K413" s="1185"/>
      <c r="L413" s="1185"/>
      <c r="M413" s="1185"/>
      <c r="N413" s="1185"/>
      <c r="O413" s="1185"/>
      <c r="P413" s="1185"/>
      <c r="Q413" s="1185"/>
      <c r="R413" s="1185"/>
      <c r="S413" s="1185"/>
      <c r="T413" s="1185"/>
      <c r="U413" s="1185"/>
      <c r="V413" s="1185"/>
      <c r="W413" s="1185"/>
      <c r="X413" s="1185"/>
      <c r="Y413" s="1185"/>
      <c r="Z413" s="1185"/>
      <c r="AA413" s="1185"/>
      <c r="AB413" s="1185"/>
      <c r="AC413" s="1185"/>
      <c r="AD413" s="1185"/>
      <c r="AE413" s="162"/>
      <c r="AF413" s="2036" t="s">
        <v>1066</v>
      </c>
      <c r="AG413" s="2036"/>
      <c r="AH413" s="2036"/>
      <c r="AI413" s="2036"/>
      <c r="AJ413" s="2036"/>
      <c r="AK413" s="2036"/>
      <c r="AL413" s="2343"/>
      <c r="AM413" s="16"/>
      <c r="AN413" s="439"/>
      <c r="AO413" s="162"/>
      <c r="AP413" s="162"/>
      <c r="BS413" s="16"/>
      <c r="BT413" s="16"/>
      <c r="BY413" s="16"/>
      <c r="BZ413" s="16"/>
      <c r="CA413" s="16"/>
      <c r="CB413" s="16"/>
      <c r="CC413" s="16"/>
      <c r="CD413" s="16"/>
      <c r="CE413" s="16"/>
      <c r="CF413" s="16"/>
      <c r="CG413" s="16"/>
      <c r="CH413" s="16"/>
      <c r="CI413" s="16"/>
      <c r="CJ413" s="16"/>
      <c r="CK413" s="16"/>
      <c r="CL413" s="16"/>
      <c r="CM413" s="16"/>
      <c r="CN413" s="16"/>
      <c r="CO413" s="16"/>
      <c r="CP413" s="16"/>
      <c r="CQ413" s="16"/>
      <c r="CR413" s="16"/>
      <c r="CS413" s="16"/>
      <c r="CT413" s="16"/>
      <c r="CU413" s="16"/>
      <c r="CV413" s="16"/>
      <c r="CW413" s="16"/>
      <c r="CX413" s="16"/>
      <c r="CY413" s="16"/>
      <c r="CZ413" s="16"/>
      <c r="DA413" s="16"/>
      <c r="DB413" s="16"/>
      <c r="DC413" s="16"/>
      <c r="DD413" s="16"/>
      <c r="DE413" s="16"/>
      <c r="DF413" s="16"/>
      <c r="DG413" s="16"/>
      <c r="DH413" s="16"/>
      <c r="DQ413" s="16"/>
      <c r="DR413" s="16"/>
      <c r="DS413" s="16"/>
      <c r="DT413" s="16"/>
      <c r="DU413" s="16"/>
      <c r="DV413" s="16"/>
      <c r="DW413" s="16"/>
      <c r="DX413" s="16"/>
      <c r="DY413" s="16"/>
      <c r="DZ413" s="16"/>
      <c r="EA413" s="16"/>
      <c r="EB413" s="16"/>
      <c r="EC413" s="16"/>
      <c r="ED413" s="16"/>
      <c r="EE413" s="16"/>
      <c r="EF413" s="16"/>
      <c r="EG413" s="16"/>
      <c r="EH413" s="16"/>
      <c r="EI413" s="16"/>
      <c r="EJ413" s="16"/>
      <c r="EK413" s="16"/>
      <c r="EL413" s="16"/>
      <c r="EM413" s="16"/>
      <c r="EN413" s="16"/>
      <c r="EO413" s="16"/>
      <c r="EP413" s="16"/>
      <c r="EQ413" s="16"/>
      <c r="ER413" s="16"/>
      <c r="ES413" s="16"/>
      <c r="ET413" s="16"/>
      <c r="EU413" s="16"/>
      <c r="EV413" s="16"/>
      <c r="EW413" s="16"/>
    </row>
    <row r="414" spans="1:153" s="46" customFormat="1" ht="12.75" customHeight="1">
      <c r="A414" s="8"/>
      <c r="B414" s="65"/>
      <c r="C414" s="1207"/>
      <c r="D414" s="1205"/>
      <c r="E414" s="1192"/>
      <c r="F414" s="1205"/>
      <c r="G414" s="1193"/>
      <c r="H414" s="1193"/>
      <c r="I414" s="1193"/>
      <c r="J414" s="1193"/>
      <c r="K414" s="1193"/>
      <c r="L414" s="1193"/>
      <c r="M414" s="1193"/>
      <c r="N414" s="1193"/>
      <c r="O414" s="1193"/>
      <c r="P414" s="1193"/>
      <c r="Q414" s="1193"/>
      <c r="R414" s="1193"/>
      <c r="S414" s="1193"/>
      <c r="T414" s="1193"/>
      <c r="U414" s="1193"/>
      <c r="V414" s="1193"/>
      <c r="W414" s="1193"/>
      <c r="X414" s="1193"/>
      <c r="Y414" s="1193"/>
      <c r="Z414" s="1193"/>
      <c r="AA414" s="1193"/>
      <c r="AB414" s="1193"/>
      <c r="AC414" s="1193"/>
      <c r="AD414" s="1193"/>
      <c r="AE414" s="1205"/>
      <c r="AF414" s="1205"/>
      <c r="AG414" s="1205"/>
      <c r="AH414" s="1205"/>
      <c r="AI414" s="1205"/>
      <c r="AJ414" s="1205"/>
      <c r="AK414" s="1205"/>
      <c r="AL414" s="1206"/>
      <c r="AM414" s="16"/>
      <c r="AN414" s="439"/>
      <c r="BS414" s="16"/>
      <c r="BT414" s="16"/>
      <c r="BY414" s="16"/>
      <c r="BZ414" s="16"/>
      <c r="CA414" s="16"/>
      <c r="CB414" s="16"/>
      <c r="CC414" s="16"/>
      <c r="CD414" s="16"/>
      <c r="CE414" s="16"/>
      <c r="CF414" s="16"/>
      <c r="CG414" s="16"/>
      <c r="CH414" s="16"/>
      <c r="DM414" s="16"/>
      <c r="DN414" s="16"/>
      <c r="DO414" s="16"/>
      <c r="DP414" s="16"/>
      <c r="DQ414" s="16"/>
      <c r="DR414" s="16"/>
      <c r="DS414" s="16"/>
      <c r="DT414" s="16"/>
      <c r="DU414" s="16"/>
      <c r="DV414" s="16"/>
      <c r="DW414" s="16"/>
      <c r="DX414" s="16"/>
      <c r="DY414" s="16"/>
      <c r="DZ414" s="16"/>
      <c r="EA414" s="16"/>
      <c r="EB414" s="16"/>
      <c r="EC414" s="16"/>
      <c r="ED414" s="16"/>
      <c r="EE414" s="16"/>
      <c r="EF414" s="16"/>
      <c r="EG414" s="16"/>
      <c r="EH414" s="16"/>
      <c r="EI414" s="16"/>
      <c r="EJ414" s="16"/>
      <c r="EK414" s="16"/>
      <c r="EL414" s="16"/>
      <c r="EM414" s="16"/>
      <c r="EN414" s="16"/>
      <c r="EO414" s="16"/>
      <c r="EP414" s="16"/>
      <c r="EQ414" s="16"/>
      <c r="ER414" s="16"/>
      <c r="ES414" s="16"/>
      <c r="ET414" s="16"/>
      <c r="EU414" s="16"/>
      <c r="EV414" s="16"/>
      <c r="EW414" s="16"/>
    </row>
    <row r="415" spans="1:153" s="46" customFormat="1" ht="12.75" customHeight="1">
      <c r="A415" s="8"/>
      <c r="B415" s="65"/>
      <c r="C415" s="65"/>
      <c r="D415" s="65"/>
      <c r="E415" s="306"/>
      <c r="G415" s="534"/>
      <c r="H415" s="534"/>
      <c r="I415" s="534"/>
      <c r="J415" s="534"/>
      <c r="K415" s="534"/>
      <c r="L415" s="534"/>
      <c r="M415" s="534"/>
      <c r="N415" s="534"/>
      <c r="O415" s="534"/>
      <c r="P415" s="534"/>
      <c r="Q415" s="534"/>
      <c r="R415" s="534"/>
      <c r="S415" s="534"/>
      <c r="T415" s="534"/>
      <c r="U415" s="534"/>
      <c r="V415" s="534"/>
      <c r="W415" s="534"/>
      <c r="X415" s="534"/>
      <c r="Y415" s="534"/>
      <c r="Z415" s="534"/>
      <c r="AA415" s="534"/>
      <c r="AB415" s="534"/>
      <c r="AC415" s="534"/>
      <c r="AD415" s="534"/>
      <c r="AE415" s="8"/>
      <c r="AF415" s="63"/>
      <c r="AG415" s="8"/>
      <c r="AM415" s="16"/>
      <c r="AN415" s="439"/>
      <c r="BS415" s="16"/>
      <c r="BT415" s="16"/>
      <c r="BY415" s="16"/>
      <c r="BZ415" s="16"/>
      <c r="CA415" s="16"/>
      <c r="CB415" s="16"/>
      <c r="CC415" s="16"/>
      <c r="CD415" s="16"/>
      <c r="CE415" s="16"/>
      <c r="CF415" s="16"/>
      <c r="CG415" s="16"/>
      <c r="CH415" s="16"/>
      <c r="DM415" s="16"/>
      <c r="DN415" s="16"/>
      <c r="DO415" s="16"/>
      <c r="DP415" s="16"/>
      <c r="DQ415" s="16"/>
      <c r="DR415" s="16"/>
      <c r="DS415" s="16"/>
      <c r="DT415" s="16"/>
      <c r="DU415" s="16"/>
      <c r="DV415" s="16"/>
      <c r="DW415" s="16"/>
      <c r="DX415" s="16"/>
      <c r="DY415" s="16"/>
      <c r="DZ415" s="16"/>
      <c r="EA415" s="16"/>
      <c r="EB415" s="16"/>
      <c r="EC415" s="16"/>
      <c r="ED415" s="16"/>
      <c r="EE415" s="16"/>
      <c r="EF415" s="16"/>
      <c r="EG415" s="16"/>
      <c r="EH415" s="16"/>
      <c r="EI415" s="16"/>
      <c r="EJ415" s="16"/>
      <c r="EK415" s="16"/>
      <c r="EL415" s="16"/>
      <c r="EM415" s="16"/>
      <c r="EN415" s="16"/>
      <c r="EO415" s="16"/>
      <c r="EP415" s="16"/>
      <c r="EQ415" s="16"/>
      <c r="ER415" s="16"/>
      <c r="ES415" s="16"/>
      <c r="ET415" s="16"/>
      <c r="EU415" s="16"/>
      <c r="EV415" s="16"/>
      <c r="EW415" s="16"/>
    </row>
    <row r="416" spans="1:153" s="46" customFormat="1" ht="12.75" customHeight="1">
      <c r="A416" s="8"/>
      <c r="B416" s="65"/>
      <c r="C416" s="2331" t="s">
        <v>136</v>
      </c>
      <c r="D416" s="1786"/>
      <c r="E416" s="1188" t="s">
        <v>210</v>
      </c>
      <c r="F416" s="2349" t="s">
        <v>2023</v>
      </c>
      <c r="G416" s="2349"/>
      <c r="H416" s="2349"/>
      <c r="I416" s="2349"/>
      <c r="J416" s="2349"/>
      <c r="K416" s="2349"/>
      <c r="L416" s="2349"/>
      <c r="M416" s="2349"/>
      <c r="N416" s="2349"/>
      <c r="O416" s="2349"/>
      <c r="P416" s="2349"/>
      <c r="Q416" s="2349"/>
      <c r="R416" s="2349"/>
      <c r="S416" s="2349"/>
      <c r="T416" s="2349"/>
      <c r="U416" s="2349"/>
      <c r="V416" s="2349"/>
      <c r="W416" s="2349"/>
      <c r="X416" s="2349"/>
      <c r="Y416" s="2349"/>
      <c r="Z416" s="2349"/>
      <c r="AA416" s="2349"/>
      <c r="AB416" s="2349"/>
      <c r="AC416" s="2349"/>
      <c r="AD416" s="2349"/>
      <c r="AE416" s="2349"/>
      <c r="AF416" s="1242"/>
      <c r="AG416" s="1331"/>
      <c r="AH416" s="1187"/>
      <c r="AI416" s="1187"/>
      <c r="AJ416" s="1187"/>
      <c r="AK416" s="1187"/>
      <c r="AL416" s="1215"/>
      <c r="AM416" s="16"/>
      <c r="AN416" s="439"/>
      <c r="BS416" s="16"/>
      <c r="BT416" s="16"/>
      <c r="BY416" s="16"/>
      <c r="BZ416" s="16"/>
      <c r="CA416" s="16"/>
      <c r="CB416" s="16"/>
      <c r="CC416" s="16"/>
      <c r="CD416" s="16"/>
      <c r="CE416" s="16"/>
      <c r="CF416" s="16"/>
      <c r="CG416" s="16"/>
      <c r="CH416" s="16"/>
      <c r="DM416" s="16"/>
      <c r="DN416" s="16"/>
      <c r="DO416" s="16"/>
      <c r="DP416" s="16"/>
      <c r="DQ416" s="16"/>
      <c r="DR416" s="16"/>
      <c r="DS416" s="16"/>
      <c r="DT416" s="16"/>
      <c r="DU416" s="16"/>
      <c r="DV416" s="16"/>
      <c r="DW416" s="16"/>
      <c r="DX416" s="16"/>
      <c r="DY416" s="16"/>
      <c r="DZ416" s="16"/>
      <c r="EA416" s="16"/>
      <c r="EB416" s="16"/>
      <c r="EC416" s="16"/>
      <c r="ED416" s="16"/>
      <c r="EE416" s="16"/>
      <c r="EF416" s="16"/>
      <c r="EG416" s="16"/>
      <c r="EH416" s="16"/>
      <c r="EI416" s="16"/>
      <c r="EJ416" s="16"/>
      <c r="EK416" s="16"/>
      <c r="EL416" s="16"/>
      <c r="EM416" s="16"/>
      <c r="EN416" s="16"/>
      <c r="EO416" s="16"/>
      <c r="EP416" s="16"/>
      <c r="EQ416" s="16"/>
      <c r="ER416" s="16"/>
      <c r="ES416" s="16"/>
      <c r="ET416" s="16"/>
      <c r="EU416" s="16"/>
      <c r="EV416" s="16"/>
      <c r="EW416" s="16"/>
    </row>
    <row r="417" spans="1:153" s="46" customFormat="1" ht="12.75" customHeight="1">
      <c r="A417" s="8"/>
      <c r="B417" s="65"/>
      <c r="C417" s="1198"/>
      <c r="D417" s="162"/>
      <c r="E417" s="162"/>
      <c r="F417" s="2350"/>
      <c r="G417" s="2350"/>
      <c r="H417" s="2350"/>
      <c r="I417" s="2350"/>
      <c r="J417" s="2350"/>
      <c r="K417" s="2350"/>
      <c r="L417" s="2350"/>
      <c r="M417" s="2350"/>
      <c r="N417" s="2350"/>
      <c r="O417" s="2350"/>
      <c r="P417" s="2350"/>
      <c r="Q417" s="2350"/>
      <c r="R417" s="2350"/>
      <c r="S417" s="2350"/>
      <c r="T417" s="2350"/>
      <c r="U417" s="2350"/>
      <c r="V417" s="2350"/>
      <c r="W417" s="2350"/>
      <c r="X417" s="2350"/>
      <c r="Y417" s="2350"/>
      <c r="Z417" s="2350"/>
      <c r="AA417" s="2350"/>
      <c r="AB417" s="2350"/>
      <c r="AC417" s="2350"/>
      <c r="AD417" s="2350"/>
      <c r="AE417" s="2350"/>
      <c r="AF417" s="2360" t="s">
        <v>355</v>
      </c>
      <c r="AG417" s="2360"/>
      <c r="AH417" s="2360"/>
      <c r="AI417" s="2360"/>
      <c r="AJ417" s="2360"/>
      <c r="AK417" s="2360"/>
      <c r="AL417" s="2361"/>
      <c r="AM417" s="16"/>
      <c r="AN417" s="439"/>
      <c r="BS417" s="16"/>
      <c r="BT417" s="16"/>
      <c r="BY417" s="16"/>
      <c r="BZ417" s="16"/>
      <c r="CA417" s="16"/>
      <c r="CB417" s="16"/>
      <c r="CC417" s="16"/>
      <c r="CD417" s="16"/>
      <c r="CE417" s="16"/>
      <c r="CF417" s="16"/>
      <c r="CG417" s="16"/>
      <c r="CH417" s="16"/>
      <c r="DM417" s="16"/>
      <c r="DN417" s="16"/>
      <c r="DO417" s="16"/>
      <c r="DP417" s="16"/>
      <c r="DQ417" s="16"/>
      <c r="DR417" s="16"/>
      <c r="DS417" s="16"/>
      <c r="DT417" s="16"/>
      <c r="DU417" s="16"/>
      <c r="DV417" s="16"/>
      <c r="DW417" s="16"/>
      <c r="DX417" s="16"/>
      <c r="DY417" s="16"/>
      <c r="DZ417" s="16"/>
      <c r="EA417" s="16"/>
      <c r="EB417" s="16"/>
      <c r="EC417" s="16"/>
      <c r="ED417" s="16"/>
      <c r="EE417" s="16"/>
      <c r="EF417" s="16"/>
      <c r="EG417" s="16"/>
      <c r="EH417" s="16"/>
      <c r="EI417" s="16"/>
      <c r="EJ417" s="16"/>
      <c r="EK417" s="16"/>
      <c r="EL417" s="16"/>
      <c r="EM417" s="16"/>
      <c r="EN417" s="16"/>
      <c r="EO417" s="16"/>
      <c r="EP417" s="16"/>
      <c r="EQ417" s="16"/>
      <c r="ER417" s="16"/>
      <c r="ES417" s="16"/>
      <c r="ET417" s="16"/>
      <c r="EU417" s="16"/>
      <c r="EV417" s="16"/>
      <c r="EW417" s="16"/>
    </row>
    <row r="418" spans="1:153" s="46" customFormat="1" ht="12.75" customHeight="1">
      <c r="A418" s="8"/>
      <c r="B418" s="65"/>
      <c r="C418" s="1194"/>
      <c r="D418" s="125"/>
      <c r="E418" s="306"/>
      <c r="F418" s="2350"/>
      <c r="G418" s="2350"/>
      <c r="H418" s="2350"/>
      <c r="I418" s="2350"/>
      <c r="J418" s="2350"/>
      <c r="K418" s="2350"/>
      <c r="L418" s="2350"/>
      <c r="M418" s="2350"/>
      <c r="N418" s="2350"/>
      <c r="O418" s="2350"/>
      <c r="P418" s="2350"/>
      <c r="Q418" s="2350"/>
      <c r="R418" s="2350"/>
      <c r="S418" s="2350"/>
      <c r="T418" s="2350"/>
      <c r="U418" s="2350"/>
      <c r="V418" s="2350"/>
      <c r="W418" s="2350"/>
      <c r="X418" s="2350"/>
      <c r="Y418" s="2350"/>
      <c r="Z418" s="2350"/>
      <c r="AA418" s="2350"/>
      <c r="AB418" s="2350"/>
      <c r="AC418" s="2350"/>
      <c r="AD418" s="2350"/>
      <c r="AE418" s="2350"/>
      <c r="AF418" s="162"/>
      <c r="AG418" s="162"/>
      <c r="AH418" s="162"/>
      <c r="AI418" s="162"/>
      <c r="AJ418" s="162"/>
      <c r="AK418" s="162"/>
      <c r="AL418" s="1195"/>
      <c r="AM418" s="16"/>
      <c r="AN418" s="439"/>
      <c r="BS418" s="16"/>
      <c r="BT418" s="16"/>
      <c r="BU418" s="16"/>
      <c r="BV418" s="16"/>
      <c r="BW418" s="16"/>
      <c r="BX418" s="16"/>
      <c r="BY418" s="16"/>
      <c r="BZ418" s="16"/>
      <c r="CA418" s="16"/>
      <c r="CB418" s="16"/>
      <c r="CC418" s="16"/>
      <c r="CD418" s="16"/>
      <c r="CE418" s="16"/>
      <c r="CF418" s="16"/>
      <c r="CG418" s="16"/>
      <c r="CH418" s="16"/>
      <c r="DM418" s="16"/>
      <c r="DN418" s="16"/>
      <c r="DO418" s="16"/>
      <c r="DP418" s="16"/>
      <c r="DQ418" s="16"/>
      <c r="DR418" s="16"/>
      <c r="DS418" s="16"/>
      <c r="DT418" s="16"/>
      <c r="DU418" s="16"/>
      <c r="DV418" s="16"/>
      <c r="DW418" s="16"/>
      <c r="DX418" s="16"/>
      <c r="DY418" s="16"/>
      <c r="DZ418" s="16"/>
      <c r="EA418" s="16"/>
      <c r="EB418" s="16"/>
      <c r="EC418" s="16"/>
      <c r="ED418" s="16"/>
      <c r="EE418" s="16"/>
      <c r="EF418" s="16"/>
      <c r="EG418" s="16"/>
      <c r="EH418" s="16"/>
      <c r="EI418" s="16"/>
      <c r="EJ418" s="16"/>
      <c r="EK418" s="16"/>
      <c r="EL418" s="16"/>
      <c r="EM418" s="16"/>
      <c r="EN418" s="16"/>
      <c r="EO418" s="16"/>
      <c r="EP418" s="16"/>
      <c r="EQ418" s="16"/>
      <c r="ER418" s="16"/>
      <c r="ES418" s="16"/>
      <c r="ET418" s="16"/>
      <c r="EU418" s="16"/>
      <c r="EV418" s="16"/>
      <c r="EW418" s="16"/>
    </row>
    <row r="419" spans="1:153" s="46" customFormat="1" ht="12.75" customHeight="1">
      <c r="A419" s="8"/>
      <c r="B419" s="65"/>
      <c r="C419" s="1199"/>
      <c r="D419" s="1200"/>
      <c r="E419" s="1201"/>
      <c r="F419" s="2351"/>
      <c r="G419" s="2351"/>
      <c r="H419" s="2351"/>
      <c r="I419" s="2351"/>
      <c r="J419" s="2351"/>
      <c r="K419" s="2351"/>
      <c r="L419" s="2351"/>
      <c r="M419" s="2351"/>
      <c r="N419" s="2351"/>
      <c r="O419" s="2351"/>
      <c r="P419" s="2351"/>
      <c r="Q419" s="2351"/>
      <c r="R419" s="2351"/>
      <c r="S419" s="2351"/>
      <c r="T419" s="2351"/>
      <c r="U419" s="2351"/>
      <c r="V419" s="2351"/>
      <c r="W419" s="2351"/>
      <c r="X419" s="2351"/>
      <c r="Y419" s="2351"/>
      <c r="Z419" s="2351"/>
      <c r="AA419" s="2351"/>
      <c r="AB419" s="2351"/>
      <c r="AC419" s="2351"/>
      <c r="AD419" s="2351"/>
      <c r="AE419" s="2351"/>
      <c r="AF419" s="1204"/>
      <c r="AG419" s="1203"/>
      <c r="AH419" s="1205"/>
      <c r="AI419" s="1205"/>
      <c r="AJ419" s="1205"/>
      <c r="AK419" s="1205"/>
      <c r="AL419" s="1206"/>
      <c r="AM419" s="16"/>
      <c r="AN419" s="439"/>
    </row>
    <row r="420" spans="1:153">
      <c r="A420" s="8"/>
      <c r="E420" s="306"/>
      <c r="F420" s="534"/>
      <c r="G420" s="534"/>
      <c r="H420" s="534"/>
      <c r="I420" s="534"/>
      <c r="J420" s="534"/>
      <c r="K420" s="534"/>
      <c r="L420" s="534"/>
      <c r="M420" s="534"/>
      <c r="N420" s="534"/>
      <c r="O420" s="534"/>
      <c r="P420" s="534"/>
      <c r="Q420" s="534"/>
      <c r="R420" s="534"/>
      <c r="S420" s="534"/>
      <c r="T420" s="534"/>
      <c r="U420" s="534"/>
      <c r="V420" s="534"/>
      <c r="W420" s="534"/>
      <c r="X420" s="534"/>
      <c r="Y420" s="534"/>
      <c r="Z420" s="534"/>
      <c r="AA420" s="534"/>
      <c r="AB420" s="534"/>
      <c r="AC420" s="534"/>
      <c r="AD420" s="534"/>
      <c r="AE420" s="8"/>
      <c r="AF420" s="63"/>
      <c r="AG420" s="8"/>
      <c r="AH420" s="46"/>
      <c r="AI420" s="46"/>
      <c r="AJ420" s="46"/>
      <c r="AK420" s="46"/>
      <c r="AL420" s="46"/>
      <c r="AM420" s="16"/>
    </row>
    <row r="421" spans="1:153" ht="12.75" customHeight="1">
      <c r="A421" s="8"/>
      <c r="C421" s="1208"/>
      <c r="D421" s="1209"/>
      <c r="E421" s="1188" t="s">
        <v>211</v>
      </c>
      <c r="F421" s="2347" t="s">
        <v>2025</v>
      </c>
      <c r="G421" s="2347"/>
      <c r="H421" s="2347"/>
      <c r="I421" s="2347"/>
      <c r="J421" s="2347"/>
      <c r="K421" s="2347"/>
      <c r="L421" s="2347"/>
      <c r="M421" s="2347"/>
      <c r="N421" s="2347"/>
      <c r="O421" s="2347"/>
      <c r="P421" s="2347"/>
      <c r="Q421" s="2347"/>
      <c r="R421" s="2347"/>
      <c r="S421" s="2347"/>
      <c r="T421" s="2347"/>
      <c r="U421" s="2347"/>
      <c r="V421" s="2347"/>
      <c r="W421" s="2347"/>
      <c r="X421" s="2347"/>
      <c r="Y421" s="2347"/>
      <c r="Z421" s="2347"/>
      <c r="AA421" s="2347"/>
      <c r="AB421" s="2347"/>
      <c r="AC421" s="2347"/>
      <c r="AD421" s="2347"/>
      <c r="AE421" s="2347"/>
      <c r="AF421" s="1209"/>
      <c r="AG421" s="1209"/>
      <c r="AH421" s="1209"/>
      <c r="AI421" s="1209"/>
      <c r="AJ421" s="1209"/>
      <c r="AK421" s="1209"/>
      <c r="AL421" s="1210"/>
      <c r="AM421" s="16"/>
    </row>
    <row r="422" spans="1:153">
      <c r="A422" s="8"/>
      <c r="C422" s="1194"/>
      <c r="D422" s="125"/>
      <c r="E422" s="306"/>
      <c r="F422" s="2348"/>
      <c r="G422" s="2348"/>
      <c r="H422" s="2348"/>
      <c r="I422" s="2348"/>
      <c r="J422" s="2348"/>
      <c r="K422" s="2348"/>
      <c r="L422" s="2348"/>
      <c r="M422" s="2348"/>
      <c r="N422" s="2348"/>
      <c r="O422" s="2348"/>
      <c r="P422" s="2348"/>
      <c r="Q422" s="2348"/>
      <c r="R422" s="2348"/>
      <c r="S422" s="2348"/>
      <c r="T422" s="2348"/>
      <c r="U422" s="2348"/>
      <c r="V422" s="2348"/>
      <c r="W422" s="2348"/>
      <c r="X422" s="2348"/>
      <c r="Y422" s="2348"/>
      <c r="Z422" s="2348"/>
      <c r="AA422" s="2348"/>
      <c r="AB422" s="2348"/>
      <c r="AC422" s="2348"/>
      <c r="AD422" s="2348"/>
      <c r="AE422" s="2348"/>
      <c r="AF422" s="62"/>
      <c r="AG422" s="71"/>
      <c r="AH422" s="162"/>
      <c r="AI422" s="162"/>
      <c r="AJ422" s="162"/>
      <c r="AK422" s="162"/>
      <c r="AL422" s="1195"/>
      <c r="AM422" s="16"/>
    </row>
    <row r="423" spans="1:153" s="46" customFormat="1" ht="12.75" customHeight="1">
      <c r="A423" s="8"/>
      <c r="B423" s="65"/>
      <c r="C423" s="1194"/>
      <c r="D423" s="125"/>
      <c r="E423" s="306"/>
      <c r="F423" s="2348"/>
      <c r="G423" s="2348"/>
      <c r="H423" s="2348"/>
      <c r="I423" s="2348"/>
      <c r="J423" s="2348"/>
      <c r="K423" s="2348"/>
      <c r="L423" s="2348"/>
      <c r="M423" s="2348"/>
      <c r="N423" s="2348"/>
      <c r="O423" s="2348"/>
      <c r="P423" s="2348"/>
      <c r="Q423" s="2348"/>
      <c r="R423" s="2348"/>
      <c r="S423" s="2348"/>
      <c r="T423" s="2348"/>
      <c r="U423" s="2348"/>
      <c r="V423" s="2348"/>
      <c r="W423" s="2348"/>
      <c r="X423" s="2348"/>
      <c r="Y423" s="2348"/>
      <c r="Z423" s="2348"/>
      <c r="AA423" s="2348"/>
      <c r="AB423" s="2348"/>
      <c r="AC423" s="2348"/>
      <c r="AD423" s="2348"/>
      <c r="AE423" s="2348"/>
      <c r="AF423" s="162"/>
      <c r="AG423" s="162"/>
      <c r="AH423" s="162"/>
      <c r="AI423" s="162"/>
      <c r="AJ423" s="162"/>
      <c r="AK423" s="162"/>
      <c r="AL423" s="1195"/>
      <c r="AM423" s="16"/>
      <c r="AN423" s="439"/>
    </row>
    <row r="424" spans="1:153" s="46" customFormat="1" ht="12.75" customHeight="1">
      <c r="A424" s="8"/>
      <c r="B424" s="65"/>
      <c r="C424" s="1198"/>
      <c r="D424" s="162"/>
      <c r="E424" s="162"/>
      <c r="F424" s="2348"/>
      <c r="G424" s="2348"/>
      <c r="H424" s="2348"/>
      <c r="I424" s="2348"/>
      <c r="J424" s="2348"/>
      <c r="K424" s="2348"/>
      <c r="L424" s="2348"/>
      <c r="M424" s="2348"/>
      <c r="N424" s="2348"/>
      <c r="O424" s="2348"/>
      <c r="P424" s="2348"/>
      <c r="Q424" s="2348"/>
      <c r="R424" s="2348"/>
      <c r="S424" s="2348"/>
      <c r="T424" s="2348"/>
      <c r="U424" s="2348"/>
      <c r="V424" s="2348"/>
      <c r="W424" s="2348"/>
      <c r="X424" s="2348"/>
      <c r="Y424" s="2348"/>
      <c r="Z424" s="2348"/>
      <c r="AA424" s="2348"/>
      <c r="AB424" s="2348"/>
      <c r="AC424" s="2348"/>
      <c r="AD424" s="2348"/>
      <c r="AE424" s="2348"/>
      <c r="AF424" s="162"/>
      <c r="AG424" s="162"/>
      <c r="AH424" s="162"/>
      <c r="AI424" s="162"/>
      <c r="AJ424" s="162"/>
      <c r="AK424" s="162"/>
      <c r="AL424" s="1195"/>
      <c r="AM424" s="16"/>
      <c r="AN424" s="439"/>
    </row>
    <row r="425" spans="1:153" s="46" customFormat="1" ht="12.75" customHeight="1">
      <c r="A425" s="8"/>
      <c r="B425" s="65"/>
      <c r="C425" s="2331" t="s">
        <v>136</v>
      </c>
      <c r="D425" s="1786"/>
      <c r="E425" s="306"/>
      <c r="F425" s="1211" t="s">
        <v>2022</v>
      </c>
      <c r="G425" s="1212"/>
      <c r="H425" s="1212"/>
      <c r="I425" s="1212"/>
      <c r="J425" s="1212"/>
      <c r="K425" s="1212"/>
      <c r="L425" s="1212"/>
      <c r="M425" s="1212"/>
      <c r="N425" s="1212"/>
      <c r="O425" s="1212"/>
      <c r="P425" s="1212"/>
      <c r="Q425" s="1212"/>
      <c r="R425" s="1212"/>
      <c r="S425" s="1212"/>
      <c r="T425" s="1212"/>
      <c r="U425" s="1212"/>
      <c r="V425" s="1212"/>
      <c r="W425" s="1212"/>
      <c r="X425" s="1212"/>
      <c r="Y425" s="1212"/>
      <c r="Z425" s="1212"/>
      <c r="AA425" s="1212"/>
      <c r="AB425" s="1212"/>
      <c r="AC425" s="1212"/>
      <c r="AD425" s="1212"/>
      <c r="AE425" s="162"/>
      <c r="AF425" s="2360" t="s">
        <v>355</v>
      </c>
      <c r="AG425" s="2360"/>
      <c r="AH425" s="2360"/>
      <c r="AI425" s="2360"/>
      <c r="AJ425" s="2360"/>
      <c r="AK425" s="2360"/>
      <c r="AL425" s="2361"/>
      <c r="AM425" s="16"/>
      <c r="AN425" s="439"/>
      <c r="AO425" s="162"/>
      <c r="AP425" s="162"/>
    </row>
    <row r="426" spans="1:153" s="46" customFormat="1" ht="12.75" customHeight="1">
      <c r="A426" s="8"/>
      <c r="B426" s="65"/>
      <c r="C426" s="1198"/>
      <c r="D426" s="162"/>
      <c r="E426" s="162"/>
      <c r="F426" s="162"/>
      <c r="G426" s="162"/>
      <c r="H426" s="162"/>
      <c r="I426" s="162"/>
      <c r="J426" s="162"/>
      <c r="K426" s="162"/>
      <c r="L426" s="162"/>
      <c r="M426" s="162"/>
      <c r="N426" s="162"/>
      <c r="O426" s="162"/>
      <c r="P426" s="162"/>
      <c r="Q426" s="162"/>
      <c r="R426" s="162"/>
      <c r="S426" s="162"/>
      <c r="T426" s="162"/>
      <c r="U426" s="162"/>
      <c r="V426" s="162"/>
      <c r="W426" s="162"/>
      <c r="X426" s="162"/>
      <c r="Y426" s="162"/>
      <c r="Z426" s="162"/>
      <c r="AA426" s="162"/>
      <c r="AB426" s="162"/>
      <c r="AC426" s="162"/>
      <c r="AD426" s="162"/>
      <c r="AE426" s="162"/>
      <c r="AF426" s="162"/>
      <c r="AG426" s="162"/>
      <c r="AH426" s="162"/>
      <c r="AI426" s="162"/>
      <c r="AJ426" s="162"/>
      <c r="AK426" s="162"/>
      <c r="AL426" s="1195"/>
      <c r="AM426" s="16"/>
      <c r="AN426" s="439"/>
      <c r="AO426" s="162"/>
      <c r="AP426" s="162"/>
    </row>
    <row r="427" spans="1:153" s="46" customFormat="1" ht="12.75" customHeight="1">
      <c r="A427" s="8"/>
      <c r="B427" s="65"/>
      <c r="C427" s="2331" t="s">
        <v>136</v>
      </c>
      <c r="D427" s="1786"/>
      <c r="E427" s="350"/>
      <c r="F427" s="1211" t="s">
        <v>1069</v>
      </c>
      <c r="G427" s="1212"/>
      <c r="H427" s="1212"/>
      <c r="I427" s="1212"/>
      <c r="J427" s="1212"/>
      <c r="K427" s="1212"/>
      <c r="L427" s="1212"/>
      <c r="M427" s="1212"/>
      <c r="N427" s="1212"/>
      <c r="O427" s="1212"/>
      <c r="P427" s="1212"/>
      <c r="Q427" s="1212"/>
      <c r="R427" s="1212"/>
      <c r="S427" s="1212"/>
      <c r="T427" s="1212"/>
      <c r="U427" s="1212"/>
      <c r="V427" s="1212"/>
      <c r="W427" s="1212"/>
      <c r="X427" s="1212"/>
      <c r="Y427" s="1212"/>
      <c r="Z427" s="1212"/>
      <c r="AA427" s="1212"/>
      <c r="AB427" s="1212"/>
      <c r="AC427" s="1212"/>
      <c r="AD427" s="1212"/>
      <c r="AE427" s="162"/>
      <c r="AF427" s="2360" t="s">
        <v>1066</v>
      </c>
      <c r="AG427" s="2360"/>
      <c r="AH427" s="2360"/>
      <c r="AI427" s="2360"/>
      <c r="AJ427" s="2360"/>
      <c r="AK427" s="2360"/>
      <c r="AL427" s="2361"/>
      <c r="AM427" s="16"/>
      <c r="AN427" s="439"/>
      <c r="AO427" s="474"/>
      <c r="AP427" s="474"/>
      <c r="BC427" s="65"/>
    </row>
    <row r="428" spans="1:153" s="46" customFormat="1" ht="12.75" customHeight="1">
      <c r="A428" s="8"/>
      <c r="B428" s="65"/>
      <c r="C428" s="1199"/>
      <c r="D428" s="1200"/>
      <c r="E428" s="1201"/>
      <c r="F428" s="1213"/>
      <c r="G428" s="1214"/>
      <c r="H428" s="1214"/>
      <c r="I428" s="1214"/>
      <c r="J428" s="1214"/>
      <c r="K428" s="1214"/>
      <c r="L428" s="1214"/>
      <c r="M428" s="1214"/>
      <c r="N428" s="1214"/>
      <c r="O428" s="1214"/>
      <c r="P428" s="1214"/>
      <c r="Q428" s="1214"/>
      <c r="R428" s="1214"/>
      <c r="S428" s="1214"/>
      <c r="T428" s="1214"/>
      <c r="U428" s="1214"/>
      <c r="V428" s="1214"/>
      <c r="W428" s="1214"/>
      <c r="X428" s="1214"/>
      <c r="Y428" s="1214"/>
      <c r="Z428" s="1214"/>
      <c r="AA428" s="1214"/>
      <c r="AB428" s="1214"/>
      <c r="AC428" s="1214"/>
      <c r="AD428" s="1214"/>
      <c r="AE428" s="1203"/>
      <c r="AF428" s="1204"/>
      <c r="AG428" s="1203"/>
      <c r="AH428" s="1205"/>
      <c r="AI428" s="1205"/>
      <c r="AJ428" s="1205"/>
      <c r="AK428" s="1205"/>
      <c r="AL428" s="1206"/>
      <c r="AM428" s="16"/>
      <c r="AN428" s="439"/>
      <c r="AO428" s="162"/>
      <c r="AP428" s="162"/>
    </row>
    <row r="429" spans="1:153" s="46" customFormat="1" ht="12.75" customHeight="1">
      <c r="A429" s="8"/>
      <c r="B429" s="65"/>
      <c r="C429" s="65"/>
      <c r="D429" s="65"/>
      <c r="E429" s="306"/>
      <c r="F429" s="548"/>
      <c r="G429" s="547"/>
      <c r="H429" s="547"/>
      <c r="I429" s="547"/>
      <c r="J429" s="547"/>
      <c r="K429" s="547"/>
      <c r="L429" s="547"/>
      <c r="M429" s="547"/>
      <c r="N429" s="547"/>
      <c r="O429" s="547"/>
      <c r="P429" s="547"/>
      <c r="Q429" s="547"/>
      <c r="R429" s="547"/>
      <c r="S429" s="547"/>
      <c r="T429" s="547"/>
      <c r="U429" s="547"/>
      <c r="V429" s="547"/>
      <c r="W429" s="547"/>
      <c r="X429" s="547"/>
      <c r="Y429" s="547"/>
      <c r="Z429" s="547"/>
      <c r="AA429" s="547"/>
      <c r="AB429" s="547"/>
      <c r="AC429" s="547"/>
      <c r="AD429" s="547"/>
      <c r="AE429" s="8"/>
      <c r="AF429" s="63"/>
      <c r="AG429" s="8"/>
      <c r="AM429" s="16"/>
      <c r="AN429" s="439"/>
      <c r="AO429" s="162"/>
      <c r="AP429" s="162"/>
    </row>
    <row r="430" spans="1:153" s="46" customFormat="1" ht="12.75" customHeight="1">
      <c r="A430" s="8"/>
      <c r="B430" s="65"/>
      <c r="C430" s="555" t="s">
        <v>1674</v>
      </c>
      <c r="D430" s="65"/>
      <c r="E430" s="306"/>
      <c r="F430" s="547"/>
      <c r="G430" s="547"/>
      <c r="H430" s="547"/>
      <c r="I430" s="547"/>
      <c r="J430" s="547"/>
      <c r="K430" s="547"/>
      <c r="L430" s="547"/>
      <c r="M430" s="547"/>
      <c r="N430" s="547"/>
      <c r="O430" s="547"/>
      <c r="P430" s="547"/>
      <c r="Q430" s="547"/>
      <c r="R430" s="547"/>
      <c r="S430" s="547"/>
      <c r="T430" s="547"/>
      <c r="U430" s="547"/>
      <c r="V430" s="547"/>
      <c r="W430" s="547"/>
      <c r="X430" s="547"/>
      <c r="Y430" s="547"/>
      <c r="Z430" s="547"/>
      <c r="AA430" s="547"/>
      <c r="AB430" s="547"/>
      <c r="AC430" s="547"/>
      <c r="AD430" s="547"/>
      <c r="AE430" s="8"/>
      <c r="AF430" s="63"/>
      <c r="AG430" s="8"/>
      <c r="AM430" s="16"/>
      <c r="AN430" s="439"/>
      <c r="AO430" s="162"/>
      <c r="AP430" s="162"/>
    </row>
    <row r="431" spans="1:153" s="46" customFormat="1" ht="12.75" customHeight="1">
      <c r="A431" s="8"/>
      <c r="B431" s="118"/>
      <c r="C431" s="1186"/>
      <c r="D431" s="1187"/>
      <c r="E431" s="1188" t="s">
        <v>736</v>
      </c>
      <c r="F431" s="2349" t="s">
        <v>2026</v>
      </c>
      <c r="G431" s="2349"/>
      <c r="H431" s="2349"/>
      <c r="I431" s="2349"/>
      <c r="J431" s="2349"/>
      <c r="K431" s="2349"/>
      <c r="L431" s="2349"/>
      <c r="M431" s="2349"/>
      <c r="N431" s="2349"/>
      <c r="O431" s="2349"/>
      <c r="P431" s="2349"/>
      <c r="Q431" s="2349"/>
      <c r="R431" s="2349"/>
      <c r="S431" s="2349"/>
      <c r="T431" s="2349"/>
      <c r="U431" s="2349"/>
      <c r="V431" s="2349"/>
      <c r="W431" s="2349"/>
      <c r="X431" s="2349"/>
      <c r="Y431" s="2349"/>
      <c r="Z431" s="2349"/>
      <c r="AA431" s="2349"/>
      <c r="AB431" s="2349"/>
      <c r="AC431" s="2349"/>
      <c r="AD431" s="2349"/>
      <c r="AE431" s="2349"/>
      <c r="AF431" s="1187"/>
      <c r="AG431" s="1187"/>
      <c r="AH431" s="1187"/>
      <c r="AI431" s="1187"/>
      <c r="AJ431" s="1187"/>
      <c r="AK431" s="1187"/>
      <c r="AL431" s="1215"/>
      <c r="AM431" s="16"/>
      <c r="AN431" s="439"/>
      <c r="AO431" s="162"/>
      <c r="AP431" s="162"/>
    </row>
    <row r="432" spans="1:153" s="137" customFormat="1" ht="12.75" customHeight="1">
      <c r="A432" s="8"/>
      <c r="B432" s="118"/>
      <c r="C432" s="1216"/>
      <c r="D432" s="1217"/>
      <c r="E432" s="306"/>
      <c r="F432" s="2350"/>
      <c r="G432" s="2350"/>
      <c r="H432" s="2350"/>
      <c r="I432" s="2350"/>
      <c r="J432" s="2350"/>
      <c r="K432" s="2350"/>
      <c r="L432" s="2350"/>
      <c r="M432" s="2350"/>
      <c r="N432" s="2350"/>
      <c r="O432" s="2350"/>
      <c r="P432" s="2350"/>
      <c r="Q432" s="2350"/>
      <c r="R432" s="2350"/>
      <c r="S432" s="2350"/>
      <c r="T432" s="2350"/>
      <c r="U432" s="2350"/>
      <c r="V432" s="2350"/>
      <c r="W432" s="2350"/>
      <c r="X432" s="2350"/>
      <c r="Y432" s="2350"/>
      <c r="Z432" s="2350"/>
      <c r="AA432" s="2350"/>
      <c r="AB432" s="2350"/>
      <c r="AC432" s="2350"/>
      <c r="AD432" s="2350"/>
      <c r="AE432" s="2350"/>
      <c r="AF432" s="62"/>
      <c r="AG432" s="71"/>
      <c r="AH432" s="162"/>
      <c r="AI432" s="162"/>
      <c r="AJ432" s="162"/>
      <c r="AK432" s="162"/>
      <c r="AL432" s="1195"/>
      <c r="AM432" s="16"/>
      <c r="AN432" s="1140"/>
      <c r="AO432" s="162"/>
      <c r="AP432" s="162"/>
    </row>
    <row r="433" spans="1:60" s="46" customFormat="1" ht="12.6" customHeight="1">
      <c r="A433" s="8"/>
      <c r="B433" s="118"/>
      <c r="C433" s="1216"/>
      <c r="D433" s="1217"/>
      <c r="E433" s="306"/>
      <c r="F433" s="2350"/>
      <c r="G433" s="2350"/>
      <c r="H433" s="2350"/>
      <c r="I433" s="2350"/>
      <c r="J433" s="2350"/>
      <c r="K433" s="2350"/>
      <c r="L433" s="2350"/>
      <c r="M433" s="2350"/>
      <c r="N433" s="2350"/>
      <c r="O433" s="2350"/>
      <c r="P433" s="2350"/>
      <c r="Q433" s="2350"/>
      <c r="R433" s="2350"/>
      <c r="S433" s="2350"/>
      <c r="T433" s="2350"/>
      <c r="U433" s="2350"/>
      <c r="V433" s="2350"/>
      <c r="W433" s="2350"/>
      <c r="X433" s="2350"/>
      <c r="Y433" s="2350"/>
      <c r="Z433" s="2350"/>
      <c r="AA433" s="2350"/>
      <c r="AB433" s="2350"/>
      <c r="AC433" s="2350"/>
      <c r="AD433" s="2350"/>
      <c r="AE433" s="2350"/>
      <c r="AF433" s="162"/>
      <c r="AG433" s="162"/>
      <c r="AH433" s="162"/>
      <c r="AI433" s="162"/>
      <c r="AJ433" s="162"/>
      <c r="AK433" s="162"/>
      <c r="AL433" s="1195"/>
      <c r="AM433" s="16"/>
      <c r="AN433" s="439"/>
      <c r="AO433" s="162"/>
      <c r="AP433" s="162"/>
    </row>
    <row r="434" spans="1:60" s="46" customFormat="1" ht="12.75" customHeight="1">
      <c r="A434" s="8"/>
      <c r="B434" s="118"/>
      <c r="C434" s="2331" t="s">
        <v>136</v>
      </c>
      <c r="D434" s="1786"/>
      <c r="E434" s="306"/>
      <c r="F434" s="1184" t="s">
        <v>2024</v>
      </c>
      <c r="G434" s="1218"/>
      <c r="H434" s="1218"/>
      <c r="I434" s="1218"/>
      <c r="J434" s="1218"/>
      <c r="K434" s="1218"/>
      <c r="L434" s="1218"/>
      <c r="M434" s="1218"/>
      <c r="N434" s="1218"/>
      <c r="O434" s="1218"/>
      <c r="P434" s="1218"/>
      <c r="Q434" s="1218"/>
      <c r="R434" s="1218"/>
      <c r="S434" s="1218"/>
      <c r="T434" s="1218"/>
      <c r="U434" s="1218"/>
      <c r="V434" s="1218"/>
      <c r="W434" s="1218"/>
      <c r="X434" s="1218"/>
      <c r="Y434" s="1218"/>
      <c r="Z434" s="1218"/>
      <c r="AA434" s="1218"/>
      <c r="AB434" s="1218"/>
      <c r="AC434" s="1218"/>
      <c r="AD434" s="1218"/>
      <c r="AE434" s="162"/>
      <c r="AF434" s="2360" t="s">
        <v>355</v>
      </c>
      <c r="AG434" s="2360"/>
      <c r="AH434" s="2360"/>
      <c r="AI434" s="2360"/>
      <c r="AJ434" s="2360"/>
      <c r="AK434" s="2360"/>
      <c r="AL434" s="2361"/>
      <c r="AM434" s="16"/>
      <c r="AN434" s="439"/>
      <c r="AO434" s="162"/>
      <c r="AP434" s="162"/>
    </row>
    <row r="435" spans="1:60" s="46" customFormat="1" ht="12.75" customHeight="1">
      <c r="A435" s="8"/>
      <c r="B435" s="118"/>
      <c r="C435" s="1429"/>
      <c r="D435" s="1226"/>
      <c r="E435" s="1192"/>
      <c r="F435" s="1430"/>
      <c r="G435" s="1251"/>
      <c r="H435" s="1251"/>
      <c r="I435" s="1251"/>
      <c r="J435" s="1251"/>
      <c r="K435" s="1251"/>
      <c r="L435" s="1251"/>
      <c r="M435" s="1251"/>
      <c r="N435" s="1251"/>
      <c r="O435" s="1251"/>
      <c r="P435" s="1251"/>
      <c r="Q435" s="1251"/>
      <c r="R435" s="1251"/>
      <c r="S435" s="1251"/>
      <c r="T435" s="1251"/>
      <c r="U435" s="1251"/>
      <c r="V435" s="1251"/>
      <c r="W435" s="1251"/>
      <c r="X435" s="1251"/>
      <c r="Y435" s="1251"/>
      <c r="Z435" s="1251"/>
      <c r="AA435" s="1251"/>
      <c r="AB435" s="1251"/>
      <c r="AC435" s="1251"/>
      <c r="AD435" s="1251"/>
      <c r="AE435" s="1243"/>
      <c r="AF435" s="1228"/>
      <c r="AG435" s="1228"/>
      <c r="AH435" s="1228"/>
      <c r="AI435" s="1228"/>
      <c r="AJ435" s="1228"/>
      <c r="AK435" s="1228"/>
      <c r="AL435" s="1428"/>
      <c r="AM435" s="16"/>
      <c r="AN435" s="439"/>
      <c r="AO435" s="162"/>
      <c r="AP435" s="162"/>
    </row>
    <row r="436" spans="1:60" s="46" customFormat="1" ht="12.75" customHeight="1">
      <c r="A436" s="8"/>
      <c r="B436" s="118"/>
      <c r="C436" s="390"/>
      <c r="D436" s="390"/>
      <c r="E436" s="350"/>
      <c r="F436" s="544"/>
      <c r="G436" s="534"/>
      <c r="H436" s="534"/>
      <c r="I436" s="534"/>
      <c r="J436" s="534"/>
      <c r="K436" s="534"/>
      <c r="L436" s="534"/>
      <c r="M436" s="534"/>
      <c r="N436" s="534"/>
      <c r="O436" s="534"/>
      <c r="P436" s="534"/>
      <c r="Q436" s="534"/>
      <c r="R436" s="534"/>
      <c r="S436" s="534"/>
      <c r="T436" s="534"/>
      <c r="U436" s="534"/>
      <c r="V436" s="534"/>
      <c r="W436" s="534"/>
      <c r="X436" s="534"/>
      <c r="Y436" s="534"/>
      <c r="Z436" s="534"/>
      <c r="AA436" s="534"/>
      <c r="AB436" s="534"/>
      <c r="AC436" s="534"/>
      <c r="AD436" s="534"/>
      <c r="AE436" s="8"/>
      <c r="AM436" s="16"/>
      <c r="AN436" s="439"/>
      <c r="AO436" s="162"/>
      <c r="AP436" s="162"/>
    </row>
    <row r="437" spans="1:60" ht="13.35" customHeight="1">
      <c r="A437" s="8"/>
      <c r="B437" s="118"/>
      <c r="C437" s="1208"/>
      <c r="D437" s="1209"/>
      <c r="E437" s="1188" t="s">
        <v>733</v>
      </c>
      <c r="F437" s="2349" t="s">
        <v>2027</v>
      </c>
      <c r="G437" s="2349"/>
      <c r="H437" s="2349"/>
      <c r="I437" s="2349"/>
      <c r="J437" s="2349"/>
      <c r="K437" s="2349"/>
      <c r="L437" s="2349"/>
      <c r="M437" s="2349"/>
      <c r="N437" s="2349"/>
      <c r="O437" s="2349"/>
      <c r="P437" s="2349"/>
      <c r="Q437" s="2349"/>
      <c r="R437" s="2349"/>
      <c r="S437" s="2349"/>
      <c r="T437" s="2349"/>
      <c r="U437" s="2349"/>
      <c r="V437" s="2349"/>
      <c r="W437" s="2349"/>
      <c r="X437" s="2349"/>
      <c r="Y437" s="2349"/>
      <c r="Z437" s="2349"/>
      <c r="AA437" s="2349"/>
      <c r="AB437" s="2349"/>
      <c r="AC437" s="2349"/>
      <c r="AD437" s="2349"/>
      <c r="AE437" s="2349"/>
      <c r="AF437" s="1209"/>
      <c r="AG437" s="1209"/>
      <c r="AH437" s="1209"/>
      <c r="AI437" s="1209"/>
      <c r="AJ437" s="1209"/>
      <c r="AK437" s="1209"/>
      <c r="AL437" s="1210"/>
      <c r="AM437" s="16"/>
      <c r="AO437" s="162"/>
      <c r="AP437" s="162"/>
      <c r="BD437" s="65"/>
      <c r="BE437" s="65"/>
      <c r="BF437" s="65"/>
      <c r="BG437" s="65"/>
      <c r="BH437" s="65"/>
    </row>
    <row r="438" spans="1:60">
      <c r="A438" s="8"/>
      <c r="B438" s="118"/>
      <c r="C438" s="1216"/>
      <c r="D438" s="1217"/>
      <c r="E438" s="306"/>
      <c r="F438" s="2350"/>
      <c r="G438" s="2350"/>
      <c r="H438" s="2350"/>
      <c r="I438" s="2350"/>
      <c r="J438" s="2350"/>
      <c r="K438" s="2350"/>
      <c r="L438" s="2350"/>
      <c r="M438" s="2350"/>
      <c r="N438" s="2350"/>
      <c r="O438" s="2350"/>
      <c r="P438" s="2350"/>
      <c r="Q438" s="2350"/>
      <c r="R438" s="2350"/>
      <c r="S438" s="2350"/>
      <c r="T438" s="2350"/>
      <c r="U438" s="2350"/>
      <c r="V438" s="2350"/>
      <c r="W438" s="2350"/>
      <c r="X438" s="2350"/>
      <c r="Y438" s="2350"/>
      <c r="Z438" s="2350"/>
      <c r="AA438" s="2350"/>
      <c r="AB438" s="2350"/>
      <c r="AC438" s="2350"/>
      <c r="AD438" s="2350"/>
      <c r="AE438" s="2350"/>
      <c r="AF438" s="1316"/>
      <c r="AG438" s="1316"/>
      <c r="AH438" s="1316"/>
      <c r="AI438" s="1316"/>
      <c r="AJ438" s="1316"/>
      <c r="AK438" s="1316"/>
      <c r="AL438" s="1323"/>
      <c r="AM438" s="16"/>
      <c r="AO438" s="162"/>
      <c r="AP438" s="162"/>
    </row>
    <row r="439" spans="1:60" s="46" customFormat="1" ht="12.75" customHeight="1">
      <c r="A439" s="8"/>
      <c r="B439" s="118"/>
      <c r="C439" s="1216"/>
      <c r="D439" s="1217"/>
      <c r="E439" s="306"/>
      <c r="F439" s="2350"/>
      <c r="G439" s="2350"/>
      <c r="H439" s="2350"/>
      <c r="I439" s="2350"/>
      <c r="J439" s="2350"/>
      <c r="K439" s="2350"/>
      <c r="L439" s="2350"/>
      <c r="M439" s="2350"/>
      <c r="N439" s="2350"/>
      <c r="O439" s="2350"/>
      <c r="P439" s="2350"/>
      <c r="Q439" s="2350"/>
      <c r="R439" s="2350"/>
      <c r="S439" s="2350"/>
      <c r="T439" s="2350"/>
      <c r="U439" s="2350"/>
      <c r="V439" s="2350"/>
      <c r="W439" s="2350"/>
      <c r="X439" s="2350"/>
      <c r="Y439" s="2350"/>
      <c r="Z439" s="2350"/>
      <c r="AA439" s="2350"/>
      <c r="AB439" s="2350"/>
      <c r="AC439" s="2350"/>
      <c r="AD439" s="2350"/>
      <c r="AE439" s="2350"/>
      <c r="AF439" s="1316"/>
      <c r="AG439" s="1316"/>
      <c r="AH439" s="1316"/>
      <c r="AI439" s="1316"/>
      <c r="AJ439" s="1316"/>
      <c r="AK439" s="1316"/>
      <c r="AL439" s="1323"/>
      <c r="AM439" s="16"/>
      <c r="AN439" s="439"/>
      <c r="AO439" s="162"/>
      <c r="AP439" s="162"/>
    </row>
    <row r="440" spans="1:60" s="46" customFormat="1" ht="12.75" customHeight="1">
      <c r="A440" s="8"/>
      <c r="B440" s="118"/>
      <c r="C440" s="1324"/>
      <c r="D440" s="1317"/>
      <c r="E440" s="350"/>
      <c r="F440" s="2350"/>
      <c r="G440" s="2350"/>
      <c r="H440" s="2350"/>
      <c r="I440" s="2350"/>
      <c r="J440" s="2350"/>
      <c r="K440" s="2350"/>
      <c r="L440" s="2350"/>
      <c r="M440" s="2350"/>
      <c r="N440" s="2350"/>
      <c r="O440" s="2350"/>
      <c r="P440" s="2350"/>
      <c r="Q440" s="2350"/>
      <c r="R440" s="2350"/>
      <c r="S440" s="2350"/>
      <c r="T440" s="2350"/>
      <c r="U440" s="2350"/>
      <c r="V440" s="2350"/>
      <c r="W440" s="2350"/>
      <c r="X440" s="2350"/>
      <c r="Y440" s="2350"/>
      <c r="Z440" s="2350"/>
      <c r="AA440" s="2350"/>
      <c r="AB440" s="2350"/>
      <c r="AC440" s="2350"/>
      <c r="AD440" s="2350"/>
      <c r="AE440" s="2350"/>
      <c r="AF440" s="1316"/>
      <c r="AG440" s="1316"/>
      <c r="AH440" s="1316"/>
      <c r="AI440" s="1316"/>
      <c r="AJ440" s="1316"/>
      <c r="AK440" s="1316"/>
      <c r="AL440" s="1323"/>
      <c r="AM440" s="16"/>
      <c r="AN440" s="439"/>
      <c r="AO440" s="554"/>
      <c r="AP440" s="125"/>
    </row>
    <row r="441" spans="1:60" s="46" customFormat="1" ht="12.75" customHeight="1">
      <c r="A441" s="8"/>
      <c r="B441" s="118"/>
      <c r="C441" s="1324"/>
      <c r="D441" s="1317"/>
      <c r="E441" s="350"/>
      <c r="F441" s="2350"/>
      <c r="G441" s="2350"/>
      <c r="H441" s="2350"/>
      <c r="I441" s="2350"/>
      <c r="J441" s="2350"/>
      <c r="K441" s="2350"/>
      <c r="L441" s="2350"/>
      <c r="M441" s="2350"/>
      <c r="N441" s="2350"/>
      <c r="O441" s="2350"/>
      <c r="P441" s="2350"/>
      <c r="Q441" s="2350"/>
      <c r="R441" s="2350"/>
      <c r="S441" s="2350"/>
      <c r="T441" s="2350"/>
      <c r="U441" s="2350"/>
      <c r="V441" s="2350"/>
      <c r="W441" s="2350"/>
      <c r="X441" s="2350"/>
      <c r="Y441" s="2350"/>
      <c r="Z441" s="2350"/>
      <c r="AA441" s="2350"/>
      <c r="AB441" s="2350"/>
      <c r="AC441" s="2350"/>
      <c r="AD441" s="2350"/>
      <c r="AE441" s="2350"/>
      <c r="AF441" s="1316"/>
      <c r="AG441" s="1316"/>
      <c r="AH441" s="1316"/>
      <c r="AI441" s="1316"/>
      <c r="AJ441" s="1316"/>
      <c r="AK441" s="1316"/>
      <c r="AL441" s="1323"/>
      <c r="AM441" s="16"/>
      <c r="AN441" s="439"/>
      <c r="AO441" s="162"/>
      <c r="AP441" s="162"/>
    </row>
    <row r="442" spans="1:60" s="46" customFormat="1" ht="12.75" customHeight="1">
      <c r="A442" s="8"/>
      <c r="B442" s="118"/>
      <c r="C442" s="1324"/>
      <c r="D442" s="1317"/>
      <c r="E442" s="350"/>
      <c r="F442" s="2350"/>
      <c r="G442" s="2350"/>
      <c r="H442" s="2350"/>
      <c r="I442" s="2350"/>
      <c r="J442" s="2350"/>
      <c r="K442" s="2350"/>
      <c r="L442" s="2350"/>
      <c r="M442" s="2350"/>
      <c r="N442" s="2350"/>
      <c r="O442" s="2350"/>
      <c r="P442" s="2350"/>
      <c r="Q442" s="2350"/>
      <c r="R442" s="2350"/>
      <c r="S442" s="2350"/>
      <c r="T442" s="2350"/>
      <c r="U442" s="2350"/>
      <c r="V442" s="2350"/>
      <c r="W442" s="2350"/>
      <c r="X442" s="2350"/>
      <c r="Y442" s="2350"/>
      <c r="Z442" s="2350"/>
      <c r="AA442" s="2350"/>
      <c r="AB442" s="2350"/>
      <c r="AC442" s="2350"/>
      <c r="AD442" s="2350"/>
      <c r="AE442" s="2350"/>
      <c r="AF442" s="1316"/>
      <c r="AG442" s="1316"/>
      <c r="AH442" s="1316"/>
      <c r="AI442" s="1316"/>
      <c r="AJ442" s="1316"/>
      <c r="AK442" s="1316"/>
      <c r="AL442" s="1323"/>
      <c r="AM442" s="16"/>
      <c r="AN442" s="439"/>
    </row>
    <row r="443" spans="1:60" s="46" customFormat="1" ht="12.75" customHeight="1">
      <c r="A443" s="8"/>
      <c r="B443" s="118"/>
      <c r="C443" s="1324"/>
      <c r="D443" s="1317"/>
      <c r="E443" s="350"/>
      <c r="F443" s="2350"/>
      <c r="G443" s="2350"/>
      <c r="H443" s="2350"/>
      <c r="I443" s="2350"/>
      <c r="J443" s="2350"/>
      <c r="K443" s="2350"/>
      <c r="L443" s="2350"/>
      <c r="M443" s="2350"/>
      <c r="N443" s="2350"/>
      <c r="O443" s="2350"/>
      <c r="P443" s="2350"/>
      <c r="Q443" s="2350"/>
      <c r="R443" s="2350"/>
      <c r="S443" s="2350"/>
      <c r="T443" s="2350"/>
      <c r="U443" s="2350"/>
      <c r="V443" s="2350"/>
      <c r="W443" s="2350"/>
      <c r="X443" s="2350"/>
      <c r="Y443" s="2350"/>
      <c r="Z443" s="2350"/>
      <c r="AA443" s="2350"/>
      <c r="AB443" s="2350"/>
      <c r="AC443" s="2350"/>
      <c r="AD443" s="2350"/>
      <c r="AE443" s="2350"/>
      <c r="AF443" s="1316"/>
      <c r="AG443" s="1316"/>
      <c r="AH443" s="1316"/>
      <c r="AI443" s="1316"/>
      <c r="AJ443" s="1316"/>
      <c r="AK443" s="1316"/>
      <c r="AL443" s="1323"/>
      <c r="AM443" s="16"/>
      <c r="AN443" s="439"/>
    </row>
    <row r="444" spans="1:60" s="46" customFormat="1" ht="12.75" customHeight="1">
      <c r="A444" s="8"/>
      <c r="B444" s="118"/>
      <c r="C444" s="1324"/>
      <c r="D444" s="1317"/>
      <c r="E444" s="350"/>
      <c r="F444" s="2350"/>
      <c r="G444" s="2350"/>
      <c r="H444" s="2350"/>
      <c r="I444" s="2350"/>
      <c r="J444" s="2350"/>
      <c r="K444" s="2350"/>
      <c r="L444" s="2350"/>
      <c r="M444" s="2350"/>
      <c r="N444" s="2350"/>
      <c r="O444" s="2350"/>
      <c r="P444" s="2350"/>
      <c r="Q444" s="2350"/>
      <c r="R444" s="2350"/>
      <c r="S444" s="2350"/>
      <c r="T444" s="2350"/>
      <c r="U444" s="2350"/>
      <c r="V444" s="2350"/>
      <c r="W444" s="2350"/>
      <c r="X444" s="2350"/>
      <c r="Y444" s="2350"/>
      <c r="Z444" s="2350"/>
      <c r="AA444" s="2350"/>
      <c r="AB444" s="2350"/>
      <c r="AC444" s="2350"/>
      <c r="AD444" s="2350"/>
      <c r="AE444" s="2350"/>
      <c r="AF444" s="1316"/>
      <c r="AG444" s="1316"/>
      <c r="AH444" s="1316"/>
      <c r="AI444" s="1316"/>
      <c r="AJ444" s="1316"/>
      <c r="AK444" s="1316"/>
      <c r="AL444" s="1323"/>
      <c r="AM444" s="16"/>
      <c r="AN444" s="439"/>
    </row>
    <row r="445" spans="1:60" s="46" customFormat="1" ht="17.25" customHeight="1">
      <c r="A445" s="8"/>
      <c r="B445" s="118"/>
      <c r="C445" s="1324"/>
      <c r="D445" s="1317"/>
      <c r="E445" s="350"/>
      <c r="F445" s="2350"/>
      <c r="G445" s="2350"/>
      <c r="H445" s="2350"/>
      <c r="I445" s="2350"/>
      <c r="J445" s="2350"/>
      <c r="K445" s="2350"/>
      <c r="L445" s="2350"/>
      <c r="M445" s="2350"/>
      <c r="N445" s="2350"/>
      <c r="O445" s="2350"/>
      <c r="P445" s="2350"/>
      <c r="Q445" s="2350"/>
      <c r="R445" s="2350"/>
      <c r="S445" s="2350"/>
      <c r="T445" s="2350"/>
      <c r="U445" s="2350"/>
      <c r="V445" s="2350"/>
      <c r="W445" s="2350"/>
      <c r="X445" s="2350"/>
      <c r="Y445" s="2350"/>
      <c r="Z445" s="2350"/>
      <c r="AA445" s="2350"/>
      <c r="AB445" s="2350"/>
      <c r="AC445" s="2350"/>
      <c r="AD445" s="2350"/>
      <c r="AE445" s="2350"/>
      <c r="AF445" s="162"/>
      <c r="AG445" s="162"/>
      <c r="AH445" s="162"/>
      <c r="AI445" s="162"/>
      <c r="AJ445" s="162"/>
      <c r="AK445" s="162"/>
      <c r="AL445" s="1195"/>
      <c r="AM445" s="16"/>
      <c r="AN445" s="439"/>
    </row>
    <row r="446" spans="1:60" s="46" customFormat="1" ht="12.75" customHeight="1">
      <c r="A446" s="8"/>
      <c r="B446" s="65"/>
      <c r="C446" s="2331" t="s">
        <v>119</v>
      </c>
      <c r="D446" s="1786"/>
      <c r="E446" s="350"/>
      <c r="F446" s="474" t="s">
        <v>2028</v>
      </c>
      <c r="G446" s="84"/>
      <c r="H446" s="84"/>
      <c r="I446" s="84"/>
      <c r="J446" s="84"/>
      <c r="K446" s="84"/>
      <c r="L446" s="84"/>
      <c r="M446" s="84"/>
      <c r="N446" s="84"/>
      <c r="O446" s="84"/>
      <c r="P446" s="84"/>
      <c r="Q446" s="84"/>
      <c r="R446" s="84"/>
      <c r="S446" s="84"/>
      <c r="T446" s="84"/>
      <c r="U446" s="84"/>
      <c r="V446" s="84"/>
      <c r="W446" s="84"/>
      <c r="X446" s="84"/>
      <c r="Y446" s="84"/>
      <c r="Z446" s="84"/>
      <c r="AA446" s="84"/>
      <c r="AB446" s="84"/>
      <c r="AC446" s="84"/>
      <c r="AD446" s="84"/>
      <c r="AE446" s="162"/>
      <c r="AF446" s="2360" t="s">
        <v>355</v>
      </c>
      <c r="AG446" s="2360"/>
      <c r="AH446" s="2360"/>
      <c r="AI446" s="2360"/>
      <c r="AJ446" s="2360"/>
      <c r="AK446" s="2360"/>
      <c r="AL446" s="2361"/>
      <c r="AM446" s="16"/>
      <c r="AN446" s="439"/>
    </row>
    <row r="447" spans="1:60" s="46" customFormat="1" ht="12.75" customHeight="1">
      <c r="A447" s="8"/>
      <c r="B447" s="118"/>
      <c r="C447" s="1207"/>
      <c r="D447" s="1205"/>
      <c r="E447" s="1192"/>
      <c r="F447" s="1202"/>
      <c r="G447" s="1193"/>
      <c r="H447" s="1193"/>
      <c r="I447" s="1193"/>
      <c r="J447" s="1193"/>
      <c r="K447" s="1193"/>
      <c r="L447" s="1193"/>
      <c r="M447" s="1193"/>
      <c r="N447" s="1193"/>
      <c r="O447" s="1193"/>
      <c r="P447" s="1193"/>
      <c r="Q447" s="1193"/>
      <c r="R447" s="1193"/>
      <c r="S447" s="1193"/>
      <c r="T447" s="1193"/>
      <c r="U447" s="1193"/>
      <c r="V447" s="1193"/>
      <c r="W447" s="1193"/>
      <c r="X447" s="1193"/>
      <c r="Y447" s="1193"/>
      <c r="Z447" s="1193"/>
      <c r="AA447" s="1193"/>
      <c r="AB447" s="1193"/>
      <c r="AC447" s="1193"/>
      <c r="AD447" s="1193"/>
      <c r="AE447" s="1205"/>
      <c r="AF447" s="1205"/>
      <c r="AG447" s="1205"/>
      <c r="AH447" s="1205"/>
      <c r="AI447" s="1205"/>
      <c r="AJ447" s="1205"/>
      <c r="AK447" s="1205"/>
      <c r="AL447" s="1206"/>
      <c r="AM447" s="16"/>
      <c r="AN447" s="439"/>
    </row>
    <row r="448" spans="1:60" s="46" customFormat="1" ht="12.75" customHeight="1">
      <c r="A448" s="8"/>
      <c r="B448" s="118"/>
      <c r="C448" s="390"/>
      <c r="D448" s="390"/>
      <c r="E448" s="350"/>
      <c r="F448" s="544"/>
      <c r="G448" s="534"/>
      <c r="H448" s="534"/>
      <c r="I448" s="534"/>
      <c r="J448" s="534"/>
      <c r="K448" s="534"/>
      <c r="L448" s="534"/>
      <c r="M448" s="534"/>
      <c r="N448" s="534"/>
      <c r="O448" s="534"/>
      <c r="P448" s="534"/>
      <c r="Q448" s="534"/>
      <c r="R448" s="534"/>
      <c r="S448" s="534"/>
      <c r="T448" s="534"/>
      <c r="U448" s="534"/>
      <c r="V448" s="534"/>
      <c r="W448" s="534"/>
      <c r="X448" s="534"/>
      <c r="Y448" s="534"/>
      <c r="Z448" s="534"/>
      <c r="AA448" s="534"/>
      <c r="AB448" s="534"/>
      <c r="AC448" s="534"/>
      <c r="AD448" s="534"/>
      <c r="AE448" s="33"/>
      <c r="AF448" s="33"/>
      <c r="AG448" s="33"/>
      <c r="AH448" s="33"/>
      <c r="AI448" s="33"/>
      <c r="AJ448" s="33"/>
      <c r="AK448" s="33"/>
      <c r="AL448" s="1305"/>
      <c r="AM448" s="16"/>
      <c r="AN448" s="439"/>
    </row>
    <row r="449" spans="1:49" s="46" customFormat="1" ht="12.75" customHeight="1">
      <c r="A449" s="8"/>
      <c r="B449" s="118"/>
      <c r="C449" s="1186"/>
      <c r="D449" s="1187"/>
      <c r="E449" s="1188" t="s">
        <v>734</v>
      </c>
      <c r="F449" s="2349" t="s">
        <v>2030</v>
      </c>
      <c r="G449" s="2349"/>
      <c r="H449" s="2349"/>
      <c r="I449" s="2349"/>
      <c r="J449" s="2349"/>
      <c r="K449" s="2349"/>
      <c r="L449" s="2349"/>
      <c r="M449" s="2349"/>
      <c r="N449" s="2349"/>
      <c r="O449" s="2349"/>
      <c r="P449" s="2349"/>
      <c r="Q449" s="2349"/>
      <c r="R449" s="2349"/>
      <c r="S449" s="2349"/>
      <c r="T449" s="2349"/>
      <c r="U449" s="2349"/>
      <c r="V449" s="2349"/>
      <c r="W449" s="2349"/>
      <c r="X449" s="2349"/>
      <c r="Y449" s="2349"/>
      <c r="Z449" s="2349"/>
      <c r="AA449" s="2349"/>
      <c r="AB449" s="2349"/>
      <c r="AC449" s="2349"/>
      <c r="AD449" s="2349"/>
      <c r="AE449" s="2349"/>
      <c r="AF449" s="1187"/>
      <c r="AG449" s="1187"/>
      <c r="AH449" s="1187"/>
      <c r="AI449" s="1187"/>
      <c r="AJ449" s="1187"/>
      <c r="AK449" s="1187"/>
      <c r="AL449" s="1215"/>
      <c r="AM449" s="16"/>
      <c r="AN449" s="439"/>
    </row>
    <row r="450" spans="1:49" s="46" customFormat="1" ht="12.75" customHeight="1">
      <c r="A450" s="8"/>
      <c r="B450" s="118"/>
      <c r="C450" s="1324"/>
      <c r="D450" s="1317"/>
      <c r="E450" s="350"/>
      <c r="F450" s="2350"/>
      <c r="G450" s="2350"/>
      <c r="H450" s="2350"/>
      <c r="I450" s="2350"/>
      <c r="J450" s="2350"/>
      <c r="K450" s="2350"/>
      <c r="L450" s="2350"/>
      <c r="M450" s="2350"/>
      <c r="N450" s="2350"/>
      <c r="O450" s="2350"/>
      <c r="P450" s="2350"/>
      <c r="Q450" s="2350"/>
      <c r="R450" s="2350"/>
      <c r="S450" s="2350"/>
      <c r="T450" s="2350"/>
      <c r="U450" s="2350"/>
      <c r="V450" s="2350"/>
      <c r="W450" s="2350"/>
      <c r="X450" s="2350"/>
      <c r="Y450" s="2350"/>
      <c r="Z450" s="2350"/>
      <c r="AA450" s="2350"/>
      <c r="AB450" s="2350"/>
      <c r="AC450" s="2350"/>
      <c r="AD450" s="2350"/>
      <c r="AE450" s="2350"/>
      <c r="AF450" s="1390"/>
      <c r="AG450" s="1318"/>
      <c r="AH450" s="1318"/>
      <c r="AI450" s="1318"/>
      <c r="AJ450" s="1318"/>
      <c r="AK450" s="1318"/>
      <c r="AL450" s="1319"/>
      <c r="AM450" s="16"/>
      <c r="AN450" s="439"/>
    </row>
    <row r="451" spans="1:49" s="46" customFormat="1" ht="12.75" customHeight="1">
      <c r="A451" s="8"/>
      <c r="B451" s="118"/>
      <c r="C451" s="1324"/>
      <c r="D451" s="1317"/>
      <c r="E451" s="350"/>
      <c r="F451" s="2350"/>
      <c r="G451" s="2350"/>
      <c r="H451" s="2350"/>
      <c r="I451" s="2350"/>
      <c r="J451" s="2350"/>
      <c r="K451" s="2350"/>
      <c r="L451" s="2350"/>
      <c r="M451" s="2350"/>
      <c r="N451" s="2350"/>
      <c r="O451" s="2350"/>
      <c r="P451" s="2350"/>
      <c r="Q451" s="2350"/>
      <c r="R451" s="2350"/>
      <c r="S451" s="2350"/>
      <c r="T451" s="2350"/>
      <c r="U451" s="2350"/>
      <c r="V451" s="2350"/>
      <c r="W451" s="2350"/>
      <c r="X451" s="2350"/>
      <c r="Y451" s="2350"/>
      <c r="Z451" s="2350"/>
      <c r="AA451" s="2350"/>
      <c r="AB451" s="2350"/>
      <c r="AC451" s="2350"/>
      <c r="AD451" s="2350"/>
      <c r="AE451" s="2350"/>
      <c r="AF451" s="1390"/>
      <c r="AG451" s="1318"/>
      <c r="AH451" s="1318"/>
      <c r="AI451" s="1318"/>
      <c r="AJ451" s="1318"/>
      <c r="AK451" s="1318"/>
      <c r="AL451" s="1319"/>
      <c r="AM451" s="16"/>
      <c r="AN451" s="439"/>
    </row>
    <row r="452" spans="1:49" s="46" customFormat="1" ht="12.75" customHeight="1">
      <c r="A452" s="8"/>
      <c r="B452" s="118"/>
      <c r="C452" s="1324"/>
      <c r="D452" s="1317"/>
      <c r="E452" s="350"/>
      <c r="F452" s="2350"/>
      <c r="G452" s="2350"/>
      <c r="H452" s="2350"/>
      <c r="I452" s="2350"/>
      <c r="J452" s="2350"/>
      <c r="K452" s="2350"/>
      <c r="L452" s="2350"/>
      <c r="M452" s="2350"/>
      <c r="N452" s="2350"/>
      <c r="O452" s="2350"/>
      <c r="P452" s="2350"/>
      <c r="Q452" s="2350"/>
      <c r="R452" s="2350"/>
      <c r="S452" s="2350"/>
      <c r="T452" s="2350"/>
      <c r="U452" s="2350"/>
      <c r="V452" s="2350"/>
      <c r="W452" s="2350"/>
      <c r="X452" s="2350"/>
      <c r="Y452" s="2350"/>
      <c r="Z452" s="2350"/>
      <c r="AA452" s="2350"/>
      <c r="AB452" s="2350"/>
      <c r="AC452" s="2350"/>
      <c r="AD452" s="2350"/>
      <c r="AE452" s="2350"/>
      <c r="AF452" s="162"/>
      <c r="AG452" s="162"/>
      <c r="AH452" s="162"/>
      <c r="AI452" s="162"/>
      <c r="AJ452" s="162"/>
      <c r="AK452" s="162"/>
      <c r="AL452" s="1195"/>
      <c r="AM452" s="16"/>
      <c r="AN452" s="439"/>
    </row>
    <row r="453" spans="1:49" s="162" customFormat="1" ht="12.75" customHeight="1">
      <c r="A453" s="8"/>
      <c r="B453" s="118"/>
      <c r="C453" s="2331" t="s">
        <v>119</v>
      </c>
      <c r="D453" s="1786"/>
      <c r="E453" s="350"/>
      <c r="F453" s="1184" t="s">
        <v>2029</v>
      </c>
      <c r="G453" s="1185"/>
      <c r="H453" s="1185"/>
      <c r="I453" s="1185"/>
      <c r="J453" s="1185"/>
      <c r="K453" s="1185"/>
      <c r="L453" s="1185"/>
      <c r="M453" s="1185"/>
      <c r="N453" s="1185"/>
      <c r="O453" s="1185"/>
      <c r="P453" s="1185"/>
      <c r="Q453" s="1185"/>
      <c r="R453" s="1185"/>
      <c r="S453" s="1185"/>
      <c r="T453" s="1185"/>
      <c r="U453" s="1185"/>
      <c r="V453" s="1185"/>
      <c r="W453" s="1185"/>
      <c r="X453" s="1185"/>
      <c r="Y453" s="1185"/>
      <c r="Z453" s="1185"/>
      <c r="AA453" s="1185"/>
      <c r="AB453" s="1185"/>
      <c r="AC453" s="1185"/>
      <c r="AD453" s="1185"/>
      <c r="AF453" s="2360" t="s">
        <v>355</v>
      </c>
      <c r="AG453" s="2360"/>
      <c r="AH453" s="2360"/>
      <c r="AI453" s="2360"/>
      <c r="AJ453" s="2360"/>
      <c r="AK453" s="2360"/>
      <c r="AL453" s="2361"/>
      <c r="AM453" s="16"/>
      <c r="AN453" s="1145"/>
      <c r="AP453" s="125"/>
      <c r="AQ453" s="249"/>
      <c r="AR453" s="249"/>
      <c r="AS453" s="249"/>
      <c r="AT453" s="249"/>
      <c r="AU453" s="249"/>
      <c r="AV453" s="249"/>
      <c r="AW453" s="249"/>
    </row>
    <row r="454" spans="1:49" s="46" customFormat="1" ht="12.75" customHeight="1">
      <c r="A454" s="8"/>
      <c r="B454" s="118"/>
      <c r="C454" s="1198"/>
      <c r="D454" s="162"/>
      <c r="E454" s="306"/>
      <c r="F454" s="1220"/>
      <c r="G454" s="1320"/>
      <c r="H454" s="1320"/>
      <c r="I454" s="1320"/>
      <c r="J454" s="1320"/>
      <c r="K454" s="1320"/>
      <c r="L454" s="1320"/>
      <c r="M454" s="1320"/>
      <c r="N454" s="1320"/>
      <c r="O454" s="1320"/>
      <c r="P454" s="1320"/>
      <c r="Q454" s="1320"/>
      <c r="R454" s="1320"/>
      <c r="S454" s="1320"/>
      <c r="T454" s="1320"/>
      <c r="U454" s="1320"/>
      <c r="V454" s="1320"/>
      <c r="W454" s="1320"/>
      <c r="X454" s="1320"/>
      <c r="Y454" s="1320"/>
      <c r="Z454" s="1320"/>
      <c r="AA454" s="1320"/>
      <c r="AB454" s="1320"/>
      <c r="AC454" s="1320"/>
      <c r="AD454" s="1320"/>
      <c r="AE454" s="162"/>
      <c r="AF454" s="162"/>
      <c r="AG454" s="162"/>
      <c r="AH454" s="162"/>
      <c r="AI454" s="162"/>
      <c r="AJ454" s="162"/>
      <c r="AK454" s="162"/>
      <c r="AL454" s="1195"/>
      <c r="AM454" s="16"/>
      <c r="AN454" s="1145"/>
      <c r="AO454" s="162"/>
      <c r="AP454" s="162"/>
      <c r="AQ454" s="249"/>
      <c r="AR454" s="249"/>
      <c r="AS454" s="249"/>
      <c r="AT454" s="249"/>
      <c r="AU454" s="249"/>
      <c r="AV454" s="249"/>
      <c r="AW454" s="249"/>
    </row>
    <row r="455" spans="1:49" s="46" customFormat="1" ht="12.75" customHeight="1">
      <c r="A455" s="8"/>
      <c r="B455" s="118"/>
      <c r="C455" s="1221"/>
      <c r="D455" s="1222"/>
      <c r="E455" s="1201"/>
      <c r="F455" s="1205" t="s">
        <v>2015</v>
      </c>
      <c r="G455" s="1196"/>
      <c r="H455" s="1196"/>
      <c r="I455" s="1196"/>
      <c r="J455" s="1196"/>
      <c r="K455" s="1196"/>
      <c r="L455" s="1196"/>
      <c r="M455" s="1196"/>
      <c r="N455" s="1196"/>
      <c r="O455" s="1196"/>
      <c r="P455" s="1196"/>
      <c r="Q455" s="1196"/>
      <c r="R455" s="1196"/>
      <c r="S455" s="1196"/>
      <c r="T455" s="1196"/>
      <c r="U455" s="1196"/>
      <c r="V455" s="1196"/>
      <c r="W455" s="1196"/>
      <c r="X455" s="1196"/>
      <c r="Y455" s="1196"/>
      <c r="Z455" s="1196"/>
      <c r="AA455" s="1196"/>
      <c r="AB455" s="1196"/>
      <c r="AC455" s="1196"/>
      <c r="AD455" s="1196"/>
      <c r="AE455" s="1203"/>
      <c r="AF455" s="1204"/>
      <c r="AG455" s="1203"/>
      <c r="AH455" s="1205"/>
      <c r="AI455" s="1205"/>
      <c r="AJ455" s="1205"/>
      <c r="AK455" s="1205"/>
      <c r="AL455" s="1206"/>
      <c r="AM455" s="16"/>
      <c r="AN455" s="1145"/>
      <c r="AO455" s="162"/>
      <c r="AP455" s="162"/>
      <c r="AQ455" s="249"/>
      <c r="AR455" s="249"/>
      <c r="AS455" s="249"/>
      <c r="AT455" s="249"/>
      <c r="AU455" s="249"/>
      <c r="AV455" s="249"/>
      <c r="AW455" s="249"/>
    </row>
    <row r="456" spans="1:49" s="46" customFormat="1" ht="12.75" customHeight="1">
      <c r="A456" s="8"/>
      <c r="B456" s="118"/>
      <c r="C456" s="390"/>
      <c r="D456" s="390"/>
      <c r="E456" s="350"/>
      <c r="F456" s="544"/>
      <c r="G456" s="534"/>
      <c r="H456" s="534"/>
      <c r="I456" s="534"/>
      <c r="J456" s="534"/>
      <c r="K456" s="534"/>
      <c r="L456" s="534"/>
      <c r="M456" s="534"/>
      <c r="N456" s="534"/>
      <c r="O456" s="534"/>
      <c r="P456" s="534"/>
      <c r="Q456" s="534"/>
      <c r="R456" s="534"/>
      <c r="S456" s="534"/>
      <c r="T456" s="534"/>
      <c r="U456" s="534"/>
      <c r="V456" s="534"/>
      <c r="W456" s="534"/>
      <c r="X456" s="534"/>
      <c r="Y456" s="534"/>
      <c r="Z456" s="534"/>
      <c r="AA456" s="534"/>
      <c r="AB456" s="534"/>
      <c r="AC456" s="534"/>
      <c r="AD456" s="534"/>
      <c r="AE456" s="33"/>
      <c r="AM456" s="16"/>
      <c r="AN456" s="1145"/>
      <c r="AO456" s="162"/>
      <c r="AP456" s="162"/>
      <c r="AQ456" s="249"/>
      <c r="AR456" s="249"/>
      <c r="AS456" s="249"/>
      <c r="AT456" s="249"/>
      <c r="AU456" s="249"/>
      <c r="AV456" s="249"/>
      <c r="AW456" s="249"/>
    </row>
    <row r="457" spans="1:49" s="137" customFormat="1" ht="12.75" customHeight="1">
      <c r="A457" s="8"/>
      <c r="B457" s="118"/>
      <c r="C457" s="2568" t="s">
        <v>119</v>
      </c>
      <c r="D457" s="2569"/>
      <c r="E457" s="1188" t="s">
        <v>1071</v>
      </c>
      <c r="F457" s="2349" t="s">
        <v>1073</v>
      </c>
      <c r="G457" s="2349"/>
      <c r="H457" s="2349"/>
      <c r="I457" s="2349"/>
      <c r="J457" s="2349"/>
      <c r="K457" s="2349"/>
      <c r="L457" s="2349"/>
      <c r="M457" s="2349"/>
      <c r="N457" s="2349"/>
      <c r="O457" s="2349"/>
      <c r="P457" s="2349"/>
      <c r="Q457" s="2349"/>
      <c r="R457" s="2349"/>
      <c r="S457" s="2349"/>
      <c r="T457" s="2349"/>
      <c r="U457" s="2349"/>
      <c r="V457" s="2349"/>
      <c r="W457" s="2349"/>
      <c r="X457" s="2349"/>
      <c r="Y457" s="2349"/>
      <c r="Z457" s="2349"/>
      <c r="AA457" s="2349"/>
      <c r="AB457" s="2349"/>
      <c r="AC457" s="2349"/>
      <c r="AD457" s="2349"/>
      <c r="AE457" s="2349"/>
      <c r="AF457" s="2564" t="s">
        <v>355</v>
      </c>
      <c r="AG457" s="2564"/>
      <c r="AH457" s="2564"/>
      <c r="AI457" s="2564"/>
      <c r="AJ457" s="2564"/>
      <c r="AK457" s="2564"/>
      <c r="AL457" s="2565"/>
      <c r="AM457" s="16"/>
      <c r="AN457" s="1145"/>
      <c r="AO457" s="162"/>
      <c r="AP457" s="162"/>
      <c r="AQ457" s="249"/>
    </row>
    <row r="458" spans="1:49" s="137" customFormat="1" ht="12.75" customHeight="1">
      <c r="A458" s="8"/>
      <c r="B458" s="118"/>
      <c r="C458" s="1324"/>
      <c r="D458" s="1317"/>
      <c r="E458" s="350"/>
      <c r="F458" s="2350"/>
      <c r="G458" s="2350"/>
      <c r="H458" s="2350"/>
      <c r="I458" s="2350"/>
      <c r="J458" s="2350"/>
      <c r="K458" s="2350"/>
      <c r="L458" s="2350"/>
      <c r="M458" s="2350"/>
      <c r="N458" s="2350"/>
      <c r="O458" s="2350"/>
      <c r="P458" s="2350"/>
      <c r="Q458" s="2350"/>
      <c r="R458" s="2350"/>
      <c r="S458" s="2350"/>
      <c r="T458" s="2350"/>
      <c r="U458" s="2350"/>
      <c r="V458" s="2350"/>
      <c r="W458" s="2350"/>
      <c r="X458" s="2350"/>
      <c r="Y458" s="2350"/>
      <c r="Z458" s="2350"/>
      <c r="AA458" s="2350"/>
      <c r="AB458" s="2350"/>
      <c r="AC458" s="2350"/>
      <c r="AD458" s="2350"/>
      <c r="AE458" s="2350"/>
      <c r="AF458" s="1318"/>
      <c r="AG458" s="1318"/>
      <c r="AH458" s="1318"/>
      <c r="AI458" s="1318"/>
      <c r="AJ458" s="1318"/>
      <c r="AK458" s="1318"/>
      <c r="AL458" s="1319"/>
      <c r="AM458" s="16"/>
      <c r="AN458" s="1146"/>
      <c r="AO458" s="46" t="s">
        <v>136</v>
      </c>
      <c r="AP458" s="162">
        <v>0</v>
      </c>
      <c r="AQ458" s="249"/>
    </row>
    <row r="459" spans="1:49" s="46" customFormat="1" ht="17.850000000000001" customHeight="1">
      <c r="A459" s="8"/>
      <c r="B459" s="118"/>
      <c r="C459" s="1190"/>
      <c r="D459" s="1191"/>
      <c r="E459" s="1192"/>
      <c r="F459" s="2351"/>
      <c r="G459" s="2351"/>
      <c r="H459" s="2351"/>
      <c r="I459" s="2351"/>
      <c r="J459" s="2351"/>
      <c r="K459" s="2351"/>
      <c r="L459" s="2351"/>
      <c r="M459" s="2351"/>
      <c r="N459" s="2351"/>
      <c r="O459" s="2351"/>
      <c r="P459" s="2351"/>
      <c r="Q459" s="2351"/>
      <c r="R459" s="2351"/>
      <c r="S459" s="2351"/>
      <c r="T459" s="2351"/>
      <c r="U459" s="2351"/>
      <c r="V459" s="2351"/>
      <c r="W459" s="2351"/>
      <c r="X459" s="2351"/>
      <c r="Y459" s="2351"/>
      <c r="Z459" s="2351"/>
      <c r="AA459" s="2351"/>
      <c r="AB459" s="2351"/>
      <c r="AC459" s="2351"/>
      <c r="AD459" s="2351"/>
      <c r="AE459" s="2351"/>
      <c r="AF459" s="1321"/>
      <c r="AG459" s="1321"/>
      <c r="AH459" s="1321"/>
      <c r="AI459" s="1321"/>
      <c r="AJ459" s="1321"/>
      <c r="AK459" s="1321"/>
      <c r="AL459" s="1322"/>
      <c r="AM459" s="16"/>
      <c r="AN459" s="1147"/>
      <c r="AO459" s="46" t="s">
        <v>1074</v>
      </c>
      <c r="AP459" s="46">
        <v>5</v>
      </c>
      <c r="AQ459" s="249"/>
    </row>
    <row r="460" spans="1:49" s="46" customFormat="1" ht="12.75" customHeight="1">
      <c r="A460" s="8"/>
      <c r="B460" s="118"/>
      <c r="C460" s="390"/>
      <c r="D460" s="390"/>
      <c r="E460" s="350"/>
      <c r="F460" s="544"/>
      <c r="G460" s="534"/>
      <c r="H460" s="534"/>
      <c r="I460" s="534"/>
      <c r="J460" s="534"/>
      <c r="K460" s="534"/>
      <c r="L460" s="534"/>
      <c r="M460" s="534"/>
      <c r="N460" s="534"/>
      <c r="O460" s="534"/>
      <c r="P460" s="534"/>
      <c r="Q460" s="534"/>
      <c r="R460" s="534"/>
      <c r="S460" s="534"/>
      <c r="T460" s="534"/>
      <c r="U460" s="534"/>
      <c r="V460" s="534"/>
      <c r="W460" s="534"/>
      <c r="X460" s="534"/>
      <c r="Y460" s="534"/>
      <c r="Z460" s="534"/>
      <c r="AA460" s="534"/>
      <c r="AB460" s="534"/>
      <c r="AC460" s="534"/>
      <c r="AD460" s="534"/>
      <c r="AE460" s="33"/>
      <c r="AM460" s="16"/>
      <c r="AN460" s="1148"/>
      <c r="AO460" s="46" t="s">
        <v>1075</v>
      </c>
      <c r="AP460" s="46">
        <v>5</v>
      </c>
      <c r="AQ460" s="250"/>
    </row>
    <row r="461" spans="1:49" s="46" customFormat="1" ht="12.75" customHeight="1">
      <c r="A461" s="8"/>
      <c r="B461" s="65"/>
      <c r="C461" s="2568" t="s">
        <v>136</v>
      </c>
      <c r="D461" s="2569"/>
      <c r="E461" s="1188" t="s">
        <v>1072</v>
      </c>
      <c r="F461" s="2349" t="s">
        <v>2077</v>
      </c>
      <c r="G461" s="2349"/>
      <c r="H461" s="2349"/>
      <c r="I461" s="2349"/>
      <c r="J461" s="2349"/>
      <c r="K461" s="2349"/>
      <c r="L461" s="2349"/>
      <c r="M461" s="2349"/>
      <c r="N461" s="2349"/>
      <c r="O461" s="2349"/>
      <c r="P461" s="2349"/>
      <c r="Q461" s="2349"/>
      <c r="R461" s="2349"/>
      <c r="S461" s="2349"/>
      <c r="T461" s="2349"/>
      <c r="U461" s="2349"/>
      <c r="V461" s="2349"/>
      <c r="W461" s="2349"/>
      <c r="X461" s="2349"/>
      <c r="Y461" s="2349"/>
      <c r="Z461" s="2349"/>
      <c r="AA461" s="2349"/>
      <c r="AB461" s="2349"/>
      <c r="AC461" s="2349"/>
      <c r="AD461" s="2349"/>
      <c r="AE461" s="2349"/>
      <c r="AF461" s="2564" t="s">
        <v>355</v>
      </c>
      <c r="AG461" s="2564"/>
      <c r="AH461" s="2564"/>
      <c r="AI461" s="2564"/>
      <c r="AJ461" s="2564"/>
      <c r="AK461" s="2564"/>
      <c r="AL461" s="2565"/>
      <c r="AM461" s="16"/>
      <c r="AN461" s="1148"/>
      <c r="AO461" s="46" t="s">
        <v>1476</v>
      </c>
      <c r="AP461" s="46">
        <v>5</v>
      </c>
      <c r="AQ461" s="251"/>
    </row>
    <row r="462" spans="1:49" s="46" customFormat="1" ht="12.75" customHeight="1">
      <c r="A462" s="8"/>
      <c r="B462" s="65"/>
      <c r="C462" s="1194"/>
      <c r="D462" s="125"/>
      <c r="E462" s="306"/>
      <c r="F462" s="2350"/>
      <c r="G462" s="2350"/>
      <c r="H462" s="2350"/>
      <c r="I462" s="2350"/>
      <c r="J462" s="2350"/>
      <c r="K462" s="2350"/>
      <c r="L462" s="2350"/>
      <c r="M462" s="2350"/>
      <c r="N462" s="2350"/>
      <c r="O462" s="2350"/>
      <c r="P462" s="2350"/>
      <c r="Q462" s="2350"/>
      <c r="R462" s="2350"/>
      <c r="S462" s="2350"/>
      <c r="T462" s="2350"/>
      <c r="U462" s="2350"/>
      <c r="V462" s="2350"/>
      <c r="W462" s="2350"/>
      <c r="X462" s="2350"/>
      <c r="Y462" s="2350"/>
      <c r="Z462" s="2350"/>
      <c r="AA462" s="2350"/>
      <c r="AB462" s="2350"/>
      <c r="AC462" s="2350"/>
      <c r="AD462" s="2350"/>
      <c r="AE462" s="2350"/>
      <c r="AF462" s="62"/>
      <c r="AG462" s="71"/>
      <c r="AH462" s="162"/>
      <c r="AI462" s="162"/>
      <c r="AJ462" s="162"/>
      <c r="AK462" s="162"/>
      <c r="AL462" s="1195"/>
      <c r="AM462" s="16"/>
      <c r="AN462" s="1148"/>
      <c r="AO462" s="46" t="s">
        <v>1472</v>
      </c>
      <c r="AP462" s="46">
        <v>5</v>
      </c>
    </row>
    <row r="463" spans="1:49" s="46" customFormat="1" ht="12.75" customHeight="1">
      <c r="A463" s="8"/>
      <c r="B463" s="65"/>
      <c r="C463" s="1194"/>
      <c r="D463" s="125"/>
      <c r="E463" s="306"/>
      <c r="F463" s="2350"/>
      <c r="G463" s="2350"/>
      <c r="H463" s="2350"/>
      <c r="I463" s="2350"/>
      <c r="J463" s="2350"/>
      <c r="K463" s="2350"/>
      <c r="L463" s="2350"/>
      <c r="M463" s="2350"/>
      <c r="N463" s="2350"/>
      <c r="O463" s="2350"/>
      <c r="P463" s="2350"/>
      <c r="Q463" s="2350"/>
      <c r="R463" s="2350"/>
      <c r="S463" s="2350"/>
      <c r="T463" s="2350"/>
      <c r="U463" s="2350"/>
      <c r="V463" s="2350"/>
      <c r="W463" s="2350"/>
      <c r="X463" s="2350"/>
      <c r="Y463" s="2350"/>
      <c r="Z463" s="2350"/>
      <c r="AA463" s="2350"/>
      <c r="AB463" s="2350"/>
      <c r="AC463" s="2350"/>
      <c r="AD463" s="2350"/>
      <c r="AE463" s="2350"/>
      <c r="AF463" s="62"/>
      <c r="AG463" s="71"/>
      <c r="AH463" s="162"/>
      <c r="AI463" s="162"/>
      <c r="AJ463" s="162"/>
      <c r="AK463" s="162"/>
      <c r="AL463" s="1195"/>
      <c r="AM463" s="16"/>
      <c r="AN463" s="1148"/>
      <c r="AO463" s="46" t="s">
        <v>1473</v>
      </c>
      <c r="AP463" s="46">
        <v>5</v>
      </c>
    </row>
    <row r="464" spans="1:49" s="46" customFormat="1" ht="12.75" customHeight="1">
      <c r="A464" s="8"/>
      <c r="B464" s="118"/>
      <c r="C464" s="1190"/>
      <c r="D464" s="1191"/>
      <c r="E464" s="1192"/>
      <c r="F464" s="2351"/>
      <c r="G464" s="2351"/>
      <c r="H464" s="2351"/>
      <c r="I464" s="2351"/>
      <c r="J464" s="2351"/>
      <c r="K464" s="2351"/>
      <c r="L464" s="2351"/>
      <c r="M464" s="2351"/>
      <c r="N464" s="2351"/>
      <c r="O464" s="2351"/>
      <c r="P464" s="2351"/>
      <c r="Q464" s="2351"/>
      <c r="R464" s="2351"/>
      <c r="S464" s="2351"/>
      <c r="T464" s="2351"/>
      <c r="U464" s="2351"/>
      <c r="V464" s="2351"/>
      <c r="W464" s="2351"/>
      <c r="X464" s="2351"/>
      <c r="Y464" s="2351"/>
      <c r="Z464" s="2351"/>
      <c r="AA464" s="2351"/>
      <c r="AB464" s="2351"/>
      <c r="AC464" s="2351"/>
      <c r="AD464" s="2351"/>
      <c r="AE464" s="2351"/>
      <c r="AF464" s="1321"/>
      <c r="AG464" s="1321"/>
      <c r="AH464" s="1321"/>
      <c r="AI464" s="1321"/>
      <c r="AJ464" s="1321"/>
      <c r="AK464" s="1321"/>
      <c r="AL464" s="1322"/>
      <c r="AM464" s="16"/>
      <c r="AN464" s="439"/>
      <c r="AO464" s="46" t="s">
        <v>1474</v>
      </c>
      <c r="AP464" s="46">
        <v>5</v>
      </c>
    </row>
    <row r="465" spans="1:54" s="46" customFormat="1" ht="12.75" customHeight="1">
      <c r="A465" s="8"/>
      <c r="B465" s="65"/>
      <c r="C465" s="162"/>
      <c r="D465" s="162"/>
      <c r="E465" s="162"/>
      <c r="F465" s="162"/>
      <c r="G465" s="1212"/>
      <c r="H465" s="1212"/>
      <c r="I465" s="1212"/>
      <c r="J465" s="1212"/>
      <c r="K465" s="1212"/>
      <c r="L465" s="1212"/>
      <c r="M465" s="1212"/>
      <c r="N465" s="1212"/>
      <c r="O465" s="1212"/>
      <c r="P465" s="1212"/>
      <c r="Q465" s="1212"/>
      <c r="R465" s="1212"/>
      <c r="S465" s="1212"/>
      <c r="T465" s="1212"/>
      <c r="U465" s="1212"/>
      <c r="V465" s="1212"/>
      <c r="W465" s="1212"/>
      <c r="X465" s="1212"/>
      <c r="Y465" s="1212"/>
      <c r="Z465" s="1212"/>
      <c r="AA465" s="1212"/>
      <c r="AB465" s="1212"/>
      <c r="AC465" s="1212"/>
      <c r="AD465" s="1212"/>
      <c r="AE465" s="162"/>
      <c r="AF465" s="162"/>
      <c r="AG465" s="162"/>
      <c r="AH465" s="162"/>
      <c r="AI465" s="162"/>
      <c r="AJ465" s="162"/>
      <c r="AK465" s="162"/>
      <c r="AL465" s="162"/>
      <c r="AM465" s="16"/>
      <c r="AN465" s="439"/>
      <c r="AO465" s="46" t="s">
        <v>1352</v>
      </c>
      <c r="AP465" s="46">
        <v>5</v>
      </c>
    </row>
    <row r="466" spans="1:54" s="46" customFormat="1" ht="12.75" customHeight="1">
      <c r="A466" s="8"/>
      <c r="B466" s="65"/>
      <c r="C466" s="1332"/>
      <c r="D466" s="1256"/>
      <c r="E466" s="1188" t="s">
        <v>1070</v>
      </c>
      <c r="F466" s="2347" t="s">
        <v>2078</v>
      </c>
      <c r="G466" s="2347"/>
      <c r="H466" s="2347"/>
      <c r="I466" s="2347"/>
      <c r="J466" s="2347"/>
      <c r="K466" s="2347"/>
      <c r="L466" s="2347"/>
      <c r="M466" s="2347"/>
      <c r="N466" s="2347"/>
      <c r="O466" s="2347"/>
      <c r="P466" s="2347"/>
      <c r="Q466" s="2347"/>
      <c r="R466" s="2347"/>
      <c r="S466" s="2347"/>
      <c r="T466" s="2347"/>
      <c r="U466" s="2347"/>
      <c r="V466" s="2347"/>
      <c r="W466" s="2347"/>
      <c r="X466" s="2347"/>
      <c r="Y466" s="2347"/>
      <c r="Z466" s="2347"/>
      <c r="AA466" s="2347"/>
      <c r="AB466" s="2347"/>
      <c r="AC466" s="2347"/>
      <c r="AD466" s="2347"/>
      <c r="AE466" s="2347"/>
      <c r="AF466" s="2347"/>
      <c r="AG466" s="1331"/>
      <c r="AH466" s="1187"/>
      <c r="AI466" s="1187"/>
      <c r="AJ466" s="1187"/>
      <c r="AK466" s="1187"/>
      <c r="AL466" s="1215"/>
      <c r="AM466" s="16"/>
      <c r="AN466" s="439"/>
      <c r="AO466" s="46" t="s">
        <v>1475</v>
      </c>
      <c r="AP466" s="46">
        <v>1</v>
      </c>
    </row>
    <row r="467" spans="1:54" s="46" customFormat="1" ht="12.75" customHeight="1">
      <c r="A467" s="8"/>
      <c r="B467" s="65"/>
      <c r="C467" s="1194"/>
      <c r="D467" s="125"/>
      <c r="E467" s="306"/>
      <c r="F467" s="2348"/>
      <c r="G467" s="2348"/>
      <c r="H467" s="2348"/>
      <c r="I467" s="2348"/>
      <c r="J467" s="2348"/>
      <c r="K467" s="2348"/>
      <c r="L467" s="2348"/>
      <c r="M467" s="2348"/>
      <c r="N467" s="2348"/>
      <c r="O467" s="2348"/>
      <c r="P467" s="2348"/>
      <c r="Q467" s="2348"/>
      <c r="R467" s="2348"/>
      <c r="S467" s="2348"/>
      <c r="T467" s="2348"/>
      <c r="U467" s="2348"/>
      <c r="V467" s="2348"/>
      <c r="W467" s="2348"/>
      <c r="X467" s="2348"/>
      <c r="Y467" s="2348"/>
      <c r="Z467" s="2348"/>
      <c r="AA467" s="2348"/>
      <c r="AB467" s="2348"/>
      <c r="AC467" s="2348"/>
      <c r="AD467" s="2348"/>
      <c r="AE467" s="2348"/>
      <c r="AF467" s="2348"/>
      <c r="AG467" s="162"/>
      <c r="AH467" s="162"/>
      <c r="AI467" s="162"/>
      <c r="AJ467" s="162"/>
      <c r="AK467" s="162"/>
      <c r="AL467" s="1195"/>
      <c r="AM467" s="16"/>
      <c r="AN467" s="439"/>
      <c r="AS467" s="543"/>
      <c r="AW467" s="543" t="s">
        <v>1079</v>
      </c>
      <c r="BA467" s="543" t="s">
        <v>1080</v>
      </c>
    </row>
    <row r="468" spans="1:54" s="46" customFormat="1" ht="12.75" customHeight="1">
      <c r="A468" s="8"/>
      <c r="B468" s="65"/>
      <c r="C468" s="1198"/>
      <c r="D468" s="162"/>
      <c r="E468" s="162"/>
      <c r="F468" s="2348"/>
      <c r="G468" s="2348"/>
      <c r="H468" s="2348"/>
      <c r="I468" s="2348"/>
      <c r="J468" s="2348"/>
      <c r="K468" s="2348"/>
      <c r="L468" s="2348"/>
      <c r="M468" s="2348"/>
      <c r="N468" s="2348"/>
      <c r="O468" s="2348"/>
      <c r="P468" s="2348"/>
      <c r="Q468" s="2348"/>
      <c r="R468" s="2348"/>
      <c r="S468" s="2348"/>
      <c r="T468" s="2348"/>
      <c r="U468" s="2348"/>
      <c r="V468" s="2348"/>
      <c r="W468" s="2348"/>
      <c r="X468" s="2348"/>
      <c r="Y468" s="2348"/>
      <c r="Z468" s="2348"/>
      <c r="AA468" s="2348"/>
      <c r="AB468" s="2348"/>
      <c r="AC468" s="2348"/>
      <c r="AD468" s="2348"/>
      <c r="AE468" s="2348"/>
      <c r="AF468" s="2348"/>
      <c r="AG468" s="162"/>
      <c r="AH468" s="162"/>
      <c r="AI468" s="162"/>
      <c r="AJ468" s="162"/>
      <c r="AK468" s="162"/>
      <c r="AL468" s="1195"/>
      <c r="AM468" s="16"/>
      <c r="AN468" s="439"/>
      <c r="AO468" s="46" t="s">
        <v>136</v>
      </c>
      <c r="AP468" s="64">
        <v>0</v>
      </c>
      <c r="AR468" s="46" t="s">
        <v>136</v>
      </c>
      <c r="AS468" s="64">
        <v>0</v>
      </c>
      <c r="AT468" s="43"/>
      <c r="AW468" s="46" t="s">
        <v>136</v>
      </c>
      <c r="AX468" s="43">
        <v>0</v>
      </c>
      <c r="BA468" s="46" t="s">
        <v>136</v>
      </c>
      <c r="BB468" s="43">
        <v>0</v>
      </c>
    </row>
    <row r="469" spans="1:54" s="46" customFormat="1" ht="12.75" customHeight="1">
      <c r="A469" s="8"/>
      <c r="B469" s="65"/>
      <c r="C469" s="1198"/>
      <c r="D469" s="162"/>
      <c r="E469" s="162"/>
      <c r="F469" s="2348"/>
      <c r="G469" s="2348"/>
      <c r="H469" s="2348"/>
      <c r="I469" s="2348"/>
      <c r="J469" s="2348"/>
      <c r="K469" s="2348"/>
      <c r="L469" s="2348"/>
      <c r="M469" s="2348"/>
      <c r="N469" s="2348"/>
      <c r="O469" s="2348"/>
      <c r="P469" s="2348"/>
      <c r="Q469" s="2348"/>
      <c r="R469" s="2348"/>
      <c r="S469" s="2348"/>
      <c r="T469" s="2348"/>
      <c r="U469" s="2348"/>
      <c r="V469" s="2348"/>
      <c r="W469" s="2348"/>
      <c r="X469" s="2348"/>
      <c r="Y469" s="2348"/>
      <c r="Z469" s="2348"/>
      <c r="AA469" s="2348"/>
      <c r="AB469" s="2348"/>
      <c r="AC469" s="2348"/>
      <c r="AD469" s="2348"/>
      <c r="AE469" s="2348"/>
      <c r="AF469" s="2348"/>
      <c r="AG469" s="162"/>
      <c r="AH469" s="162"/>
      <c r="AI469" s="162"/>
      <c r="AJ469" s="162"/>
      <c r="AK469" s="162"/>
      <c r="AL469" s="1195"/>
      <c r="AM469" s="16"/>
      <c r="AN469" s="439"/>
      <c r="AO469" s="552">
        <v>7.0000000000000007E-2</v>
      </c>
      <c r="AP469" s="64">
        <v>3</v>
      </c>
      <c r="AR469" s="46" t="s">
        <v>2188</v>
      </c>
      <c r="AS469" s="64">
        <v>3</v>
      </c>
      <c r="AT469" s="43"/>
      <c r="AW469" s="552">
        <v>0.4</v>
      </c>
      <c r="AX469" s="43">
        <v>3</v>
      </c>
      <c r="BA469" s="552">
        <v>0.4</v>
      </c>
      <c r="BB469" s="43">
        <v>4</v>
      </c>
    </row>
    <row r="470" spans="1:54" s="46" customFormat="1" ht="12.75" customHeight="1">
      <c r="A470" s="8"/>
      <c r="B470" s="65"/>
      <c r="C470" s="2331" t="s">
        <v>136</v>
      </c>
      <c r="D470" s="1786"/>
      <c r="E470" s="350"/>
      <c r="F470" s="1211" t="s">
        <v>2022</v>
      </c>
      <c r="G470" s="1212"/>
      <c r="H470" s="1212"/>
      <c r="I470" s="1212"/>
      <c r="J470" s="1212"/>
      <c r="K470" s="1212"/>
      <c r="L470" s="1212"/>
      <c r="M470" s="1212"/>
      <c r="N470" s="1212"/>
      <c r="O470" s="1212"/>
      <c r="P470" s="1212"/>
      <c r="Q470" s="1212"/>
      <c r="R470" s="1212"/>
      <c r="S470" s="1212"/>
      <c r="T470" s="1212"/>
      <c r="U470" s="1212"/>
      <c r="V470" s="1212"/>
      <c r="W470" s="1212"/>
      <c r="X470" s="1212"/>
      <c r="Y470" s="1212"/>
      <c r="Z470" s="1212"/>
      <c r="AA470" s="1212"/>
      <c r="AB470" s="1212"/>
      <c r="AC470" s="1212"/>
      <c r="AD470" s="1212"/>
      <c r="AE470" s="162"/>
      <c r="AF470" s="2036" t="s">
        <v>355</v>
      </c>
      <c r="AG470" s="2036"/>
      <c r="AH470" s="2036"/>
      <c r="AI470" s="2036"/>
      <c r="AJ470" s="2036"/>
      <c r="AK470" s="2036"/>
      <c r="AL470" s="2343"/>
      <c r="AM470" s="16"/>
      <c r="AN470" s="439"/>
      <c r="AO470" s="552">
        <v>0.12</v>
      </c>
      <c r="AP470" s="64">
        <v>5</v>
      </c>
      <c r="AR470" s="46" t="s">
        <v>2189</v>
      </c>
      <c r="AS470" s="64">
        <v>5</v>
      </c>
      <c r="AT470" s="43"/>
      <c r="AW470" s="552">
        <v>0.6</v>
      </c>
      <c r="AX470" s="43">
        <v>4</v>
      </c>
      <c r="BA470" s="552">
        <v>0.6</v>
      </c>
      <c r="BB470" s="43">
        <v>5</v>
      </c>
    </row>
    <row r="471" spans="1:54" s="46" customFormat="1" ht="12.75" customHeight="1">
      <c r="A471" s="8"/>
      <c r="B471" s="65"/>
      <c r="C471" s="1199"/>
      <c r="D471" s="1200"/>
      <c r="E471" s="1201"/>
      <c r="F471" s="1205"/>
      <c r="G471" s="1205"/>
      <c r="H471" s="1205"/>
      <c r="I471" s="1205"/>
      <c r="J471" s="1205"/>
      <c r="K471" s="1205"/>
      <c r="L471" s="1205"/>
      <c r="M471" s="1205"/>
      <c r="N471" s="1205"/>
      <c r="O471" s="1205"/>
      <c r="P471" s="1205"/>
      <c r="Q471" s="1205"/>
      <c r="R471" s="1205"/>
      <c r="S471" s="1205"/>
      <c r="T471" s="1205"/>
      <c r="U471" s="1205"/>
      <c r="V471" s="1205"/>
      <c r="W471" s="1205"/>
      <c r="X471" s="1205"/>
      <c r="Y471" s="1205"/>
      <c r="Z471" s="1205"/>
      <c r="AA471" s="1205"/>
      <c r="AB471" s="1205"/>
      <c r="AC471" s="1205"/>
      <c r="AD471" s="1205"/>
      <c r="AE471" s="1205"/>
      <c r="AF471" s="1205"/>
      <c r="AG471" s="1205"/>
      <c r="AH471" s="1205"/>
      <c r="AI471" s="1205"/>
      <c r="AJ471" s="1205"/>
      <c r="AK471" s="1205"/>
      <c r="AL471" s="1206"/>
      <c r="AN471" s="439"/>
      <c r="AO471" s="552"/>
      <c r="AP471" s="43"/>
      <c r="AS471" s="552"/>
      <c r="AT471" s="43"/>
      <c r="AW471" s="552">
        <v>0.8</v>
      </c>
      <c r="AX471" s="43">
        <v>5</v>
      </c>
      <c r="BA471" s="552"/>
      <c r="BB471" s="43"/>
    </row>
    <row r="472" spans="1:54" s="46" customFormat="1" ht="12.75" customHeight="1">
      <c r="A472" s="8"/>
      <c r="B472" s="65"/>
      <c r="C472" s="102"/>
      <c r="D472" s="102"/>
      <c r="E472" s="153"/>
      <c r="F472" s="1431"/>
      <c r="G472" s="979"/>
      <c r="H472" s="979"/>
      <c r="I472" s="979"/>
      <c r="J472" s="979"/>
      <c r="K472" s="979"/>
      <c r="L472" s="979"/>
      <c r="M472" s="979"/>
      <c r="N472" s="979"/>
      <c r="O472" s="979"/>
      <c r="P472" s="979"/>
      <c r="Q472" s="979"/>
      <c r="R472" s="979"/>
      <c r="S472" s="979"/>
      <c r="T472" s="979"/>
      <c r="U472" s="979"/>
      <c r="V472" s="979"/>
      <c r="W472" s="979"/>
      <c r="X472" s="979"/>
      <c r="Y472" s="979"/>
      <c r="Z472" s="979"/>
      <c r="AA472" s="979"/>
      <c r="AB472" s="979"/>
      <c r="AC472" s="979"/>
      <c r="AD472" s="979"/>
      <c r="AE472" s="153"/>
      <c r="AF472" s="175"/>
      <c r="AG472" s="175"/>
      <c r="AH472" s="175"/>
      <c r="AI472" s="175"/>
      <c r="AJ472" s="175"/>
      <c r="AK472" s="175"/>
      <c r="AL472" s="175"/>
      <c r="AN472" s="439"/>
      <c r="AO472" s="46" t="s">
        <v>136</v>
      </c>
      <c r="AP472" s="64">
        <v>0</v>
      </c>
      <c r="AW472" s="552"/>
      <c r="AX472" s="43"/>
    </row>
    <row r="473" spans="1:54" s="46" customFormat="1" ht="12.75" customHeight="1">
      <c r="A473" s="8"/>
      <c r="B473" s="65"/>
      <c r="C473" s="153"/>
      <c r="D473" s="153"/>
      <c r="E473" s="350"/>
      <c r="F473" s="153"/>
      <c r="G473" s="979"/>
      <c r="H473" s="979"/>
      <c r="I473" s="979"/>
      <c r="J473" s="979"/>
      <c r="K473" s="979"/>
      <c r="L473" s="979"/>
      <c r="M473" s="979"/>
      <c r="N473" s="979"/>
      <c r="O473" s="979"/>
      <c r="P473" s="979"/>
      <c r="Q473" s="979"/>
      <c r="R473" s="979"/>
      <c r="S473" s="979"/>
      <c r="T473" s="979"/>
      <c r="U473" s="979"/>
      <c r="V473" s="979"/>
      <c r="W473" s="979"/>
      <c r="X473" s="979"/>
      <c r="Y473" s="979"/>
      <c r="Z473" s="979"/>
      <c r="AA473" s="979"/>
      <c r="AB473" s="979"/>
      <c r="AC473" s="979"/>
      <c r="AD473" s="979"/>
      <c r="AE473" s="153"/>
      <c r="AF473" s="153"/>
      <c r="AG473" s="153"/>
      <c r="AH473" s="153"/>
      <c r="AI473" s="153"/>
      <c r="AJ473" s="153"/>
      <c r="AK473" s="153"/>
      <c r="AL473" s="153"/>
      <c r="AM473" s="16"/>
      <c r="AN473" s="439"/>
      <c r="AO473" s="552">
        <v>0.09</v>
      </c>
      <c r="AP473" s="64">
        <v>3</v>
      </c>
      <c r="AS473" s="543"/>
    </row>
    <row r="474" spans="1:54" s="46" customFormat="1" ht="12.75" customHeight="1">
      <c r="A474" s="8"/>
      <c r="B474" s="65"/>
      <c r="C474" s="102"/>
      <c r="D474" s="102"/>
      <c r="E474" s="306"/>
      <c r="F474" s="1431"/>
      <c r="G474" s="979"/>
      <c r="H474" s="979"/>
      <c r="I474" s="979"/>
      <c r="J474" s="979"/>
      <c r="K474" s="979"/>
      <c r="L474" s="979"/>
      <c r="M474" s="979"/>
      <c r="N474" s="979"/>
      <c r="O474" s="979"/>
      <c r="P474" s="979"/>
      <c r="Q474" s="979"/>
      <c r="R474" s="979"/>
      <c r="S474" s="979"/>
      <c r="T474" s="979"/>
      <c r="U474" s="979"/>
      <c r="V474" s="979"/>
      <c r="W474" s="979"/>
      <c r="X474" s="979"/>
      <c r="Y474" s="979"/>
      <c r="Z474" s="979"/>
      <c r="AA474" s="979"/>
      <c r="AB474" s="979"/>
      <c r="AC474" s="979"/>
      <c r="AD474" s="979"/>
      <c r="AE474" s="153"/>
      <c r="AF474" s="175"/>
      <c r="AG474" s="175"/>
      <c r="AH474" s="175"/>
      <c r="AI474" s="175"/>
      <c r="AJ474" s="175"/>
      <c r="AK474" s="175"/>
      <c r="AL474" s="175"/>
      <c r="AM474" s="16"/>
      <c r="AN474" s="439"/>
      <c r="AO474" s="552">
        <v>0.15</v>
      </c>
      <c r="AP474" s="64">
        <v>5</v>
      </c>
    </row>
    <row r="475" spans="1:54" s="46" customFormat="1" ht="12.75" customHeight="1">
      <c r="A475" s="8"/>
      <c r="B475" s="65"/>
      <c r="C475" s="15"/>
      <c r="D475" s="65"/>
      <c r="E475" s="306"/>
      <c r="G475" s="547"/>
      <c r="H475" s="547"/>
      <c r="I475" s="547"/>
      <c r="J475" s="547"/>
      <c r="K475" s="547"/>
      <c r="L475" s="547"/>
      <c r="M475" s="547"/>
      <c r="N475" s="547"/>
      <c r="O475" s="547"/>
      <c r="P475" s="547"/>
      <c r="Q475" s="547"/>
      <c r="R475" s="547"/>
      <c r="S475" s="547"/>
      <c r="T475" s="547"/>
      <c r="U475" s="547"/>
      <c r="V475" s="547"/>
      <c r="W475" s="547"/>
      <c r="X475" s="547"/>
      <c r="Y475" s="547"/>
      <c r="Z475" s="547"/>
      <c r="AA475" s="547"/>
      <c r="AB475" s="547"/>
      <c r="AC475" s="547"/>
      <c r="AD475" s="547"/>
      <c r="AE475" s="8"/>
      <c r="AF475" s="63"/>
      <c r="AG475" s="8"/>
      <c r="AM475" s="16"/>
      <c r="AN475" s="439"/>
    </row>
    <row r="476" spans="1:54" s="46" customFormat="1" ht="12.75" customHeight="1">
      <c r="A476" s="117"/>
      <c r="B476" s="972" t="s">
        <v>2098</v>
      </c>
      <c r="D476" s="193"/>
      <c r="E476" s="146"/>
      <c r="F476" s="146"/>
      <c r="G476" s="146"/>
      <c r="H476" s="146"/>
      <c r="I476" s="146"/>
      <c r="J476" s="146"/>
      <c r="K476" s="146"/>
      <c r="L476" s="146"/>
      <c r="M476" s="146"/>
      <c r="N476" s="146"/>
      <c r="O476" s="146"/>
      <c r="P476" s="146"/>
      <c r="Q476" s="146"/>
      <c r="R476" s="146"/>
      <c r="S476" s="146"/>
      <c r="T476" s="146"/>
      <c r="U476" s="146"/>
      <c r="V476" s="146"/>
      <c r="W476" s="146"/>
      <c r="X476" s="146"/>
      <c r="Y476" s="146"/>
      <c r="Z476" s="146"/>
      <c r="AA476" s="146"/>
      <c r="AB476" s="146"/>
      <c r="AC476" s="146"/>
      <c r="AD476" s="146"/>
      <c r="AE476" s="157"/>
      <c r="AF476" s="157"/>
      <c r="AG476" s="157"/>
      <c r="AH476" s="157"/>
      <c r="AI476" s="139"/>
      <c r="AJ476" s="1299" t="s">
        <v>790</v>
      </c>
      <c r="AK476" s="2373">
        <f>IF(AS359=0,AS357,AS359)</f>
        <v>12.5</v>
      </c>
      <c r="AL476" s="2456"/>
      <c r="AM476" s="2374"/>
      <c r="AN476" s="439"/>
    </row>
    <row r="477" spans="1:54" s="46" customFormat="1" ht="12.75" customHeight="1" thickBot="1">
      <c r="A477" s="223"/>
      <c r="B477" s="223"/>
      <c r="C477" s="223"/>
      <c r="D477" s="223"/>
      <c r="E477" s="223"/>
      <c r="F477" s="223"/>
      <c r="G477" s="223"/>
      <c r="H477" s="223"/>
      <c r="I477" s="223"/>
      <c r="J477" s="223"/>
      <c r="K477" s="223"/>
      <c r="L477" s="223"/>
      <c r="M477" s="223"/>
      <c r="N477" s="223"/>
      <c r="O477" s="223"/>
      <c r="P477" s="223"/>
      <c r="Q477" s="223"/>
      <c r="R477" s="223"/>
      <c r="S477" s="223"/>
      <c r="T477" s="223"/>
      <c r="U477" s="223"/>
      <c r="V477" s="223"/>
      <c r="W477" s="223"/>
      <c r="X477" s="223"/>
      <c r="Y477" s="223"/>
      <c r="Z477" s="223"/>
      <c r="AA477" s="223"/>
      <c r="AB477" s="223"/>
      <c r="AC477" s="223"/>
      <c r="AD477" s="223"/>
      <c r="AE477" s="223"/>
      <c r="AF477" s="223"/>
      <c r="AG477" s="223"/>
      <c r="AH477" s="223"/>
      <c r="AI477" s="223"/>
      <c r="AJ477" s="223"/>
      <c r="AK477" s="223"/>
      <c r="AL477" s="223"/>
      <c r="AM477" s="224"/>
      <c r="AN477" s="439"/>
    </row>
    <row r="478" spans="1:54" s="46" customFormat="1" ht="12.75" hidden="1" customHeight="1" thickTop="1">
      <c r="A478" s="130"/>
      <c r="B478" s="294"/>
      <c r="C478" s="295"/>
      <c r="D478" s="295"/>
      <c r="E478" s="295"/>
      <c r="F478" s="295"/>
      <c r="G478" s="295"/>
      <c r="H478" s="295"/>
      <c r="I478" s="174"/>
      <c r="J478" s="174"/>
      <c r="K478" s="174"/>
      <c r="L478" s="174"/>
      <c r="M478" s="174"/>
      <c r="N478" s="174"/>
      <c r="O478" s="174"/>
      <c r="P478" s="174"/>
      <c r="Q478" s="174"/>
      <c r="R478" s="35"/>
      <c r="S478" s="63"/>
      <c r="T478" s="63"/>
      <c r="U478" s="63"/>
      <c r="V478" s="63"/>
      <c r="W478" s="63"/>
      <c r="X478" s="63"/>
      <c r="Y478" s="63"/>
      <c r="Z478" s="63"/>
      <c r="AA478" s="63"/>
      <c r="AB478" s="63"/>
      <c r="AC478" s="63"/>
      <c r="AD478" s="63"/>
      <c r="AE478" s="63"/>
      <c r="AF478" s="35"/>
      <c r="AG478" s="63"/>
      <c r="AH478" s="63"/>
      <c r="AI478" s="63"/>
      <c r="AJ478" s="63"/>
      <c r="AM478" s="65"/>
      <c r="AN478" s="439"/>
      <c r="AO478" s="46" t="s">
        <v>136</v>
      </c>
      <c r="AP478" s="162">
        <v>0</v>
      </c>
    </row>
    <row r="479" spans="1:54" s="46" customFormat="1" ht="12.75" hidden="1" customHeight="1">
      <c r="A479" s="152" t="s">
        <v>1641</v>
      </c>
      <c r="B479" s="153"/>
      <c r="C479" s="152"/>
      <c r="D479" s="153"/>
      <c r="E479" s="29"/>
      <c r="F479" s="153"/>
      <c r="G479" s="153"/>
      <c r="H479" s="153"/>
      <c r="I479" s="153"/>
      <c r="J479" s="153"/>
      <c r="K479" s="153"/>
      <c r="L479" s="153"/>
      <c r="M479" s="153"/>
      <c r="N479" s="153"/>
      <c r="O479" s="153"/>
      <c r="P479" s="153"/>
      <c r="Q479" s="153"/>
      <c r="R479" s="153"/>
      <c r="S479" s="153"/>
      <c r="T479" s="153"/>
      <c r="U479" s="153"/>
      <c r="V479" s="153"/>
      <c r="W479" s="153"/>
      <c r="X479" s="153"/>
      <c r="Y479" s="153"/>
      <c r="Z479" s="153"/>
      <c r="AA479" s="153"/>
      <c r="AB479" s="153"/>
      <c r="AE479" s="2306" t="s">
        <v>1392</v>
      </c>
      <c r="AF479" s="2306"/>
      <c r="AG479" s="2306"/>
      <c r="AH479" s="2306"/>
      <c r="AI479" s="2306"/>
      <c r="AJ479" s="2306"/>
      <c r="AK479" s="2306"/>
      <c r="AL479" s="1301"/>
      <c r="AM479" s="153"/>
      <c r="AN479" s="439"/>
      <c r="AO479" s="46" t="s">
        <v>1074</v>
      </c>
      <c r="AP479" s="46">
        <v>5</v>
      </c>
      <c r="AQ479" s="162"/>
      <c r="AR479" s="162"/>
      <c r="AS479" s="162"/>
      <c r="AT479" s="162"/>
      <c r="AU479" s="162"/>
      <c r="AV479" s="162"/>
      <c r="AW479" s="162"/>
    </row>
    <row r="480" spans="1:54" s="46" customFormat="1" ht="12.75" hidden="1" customHeight="1">
      <c r="A480" s="152"/>
      <c r="B480" s="74" t="s">
        <v>1675</v>
      </c>
      <c r="C480" s="152"/>
      <c r="D480" s="153"/>
      <c r="E480" s="29"/>
      <c r="F480" s="153"/>
      <c r="G480" s="153"/>
      <c r="H480" s="153"/>
      <c r="I480" s="153"/>
      <c r="J480" s="153"/>
      <c r="K480" s="153"/>
      <c r="L480" s="153"/>
      <c r="M480" s="153"/>
      <c r="N480" s="153"/>
      <c r="O480" s="153"/>
      <c r="P480" s="153"/>
      <c r="Q480" s="153"/>
      <c r="R480" s="153"/>
      <c r="S480" s="153"/>
      <c r="T480" s="153"/>
      <c r="U480" s="153"/>
      <c r="V480" s="153"/>
      <c r="W480" s="153"/>
      <c r="X480" s="153"/>
      <c r="Y480" s="153"/>
      <c r="Z480" s="153"/>
      <c r="AA480" s="153"/>
      <c r="AB480" s="153"/>
      <c r="AE480" s="26"/>
      <c r="AF480" s="26"/>
      <c r="AG480" s="26"/>
      <c r="AH480" s="26"/>
      <c r="AI480" s="26"/>
      <c r="AJ480" s="26"/>
      <c r="AK480" s="26"/>
      <c r="AL480" s="1301"/>
      <c r="AM480" s="153"/>
      <c r="AN480" s="439"/>
      <c r="AO480" s="46" t="s">
        <v>1284</v>
      </c>
      <c r="AP480" s="46">
        <v>5</v>
      </c>
      <c r="AQ480" s="162"/>
      <c r="AR480" s="162"/>
      <c r="AS480" s="162"/>
      <c r="AT480" s="162"/>
      <c r="AU480" s="162"/>
      <c r="AV480" s="162"/>
      <c r="AW480" s="162"/>
    </row>
    <row r="481" spans="1:50" s="46" customFormat="1" ht="12.75" hidden="1" customHeight="1">
      <c r="A481" s="152"/>
      <c r="B481" s="48" t="s">
        <v>1127</v>
      </c>
      <c r="C481" s="152"/>
      <c r="D481" s="153"/>
      <c r="E481" s="29"/>
      <c r="F481" s="153"/>
      <c r="G481" s="153"/>
      <c r="H481" s="153"/>
      <c r="I481" s="153"/>
      <c r="J481" s="153"/>
      <c r="K481" s="153"/>
      <c r="L481" s="153"/>
      <c r="M481" s="153"/>
      <c r="N481" s="153"/>
      <c r="O481" s="153"/>
      <c r="P481" s="153"/>
      <c r="Q481" s="153"/>
      <c r="R481" s="153"/>
      <c r="S481" s="153"/>
      <c r="T481" s="153"/>
      <c r="U481" s="153"/>
      <c r="V481" s="153"/>
      <c r="W481" s="153"/>
      <c r="X481" s="153"/>
      <c r="Y481" s="153"/>
      <c r="Z481" s="153"/>
      <c r="AA481" s="153"/>
      <c r="AB481" s="153"/>
      <c r="AE481" s="26"/>
      <c r="AF481" s="26"/>
      <c r="AG481" s="26"/>
      <c r="AH481" s="26"/>
      <c r="AI481" s="26"/>
      <c r="AJ481" s="26"/>
      <c r="AK481" s="26"/>
      <c r="AL481" s="1301"/>
      <c r="AM481" s="153"/>
      <c r="AN481" s="439"/>
      <c r="AO481" s="46" t="s">
        <v>1476</v>
      </c>
      <c r="AP481" s="46">
        <v>5</v>
      </c>
      <c r="AQ481" s="681"/>
      <c r="AR481" s="681"/>
      <c r="AS481" s="543"/>
      <c r="AW481" s="543"/>
    </row>
    <row r="482" spans="1:50" s="46" customFormat="1" ht="12.75" hidden="1" customHeight="1">
      <c r="A482" s="152"/>
      <c r="B482" s="48" t="s">
        <v>1084</v>
      </c>
      <c r="C482" s="152"/>
      <c r="D482" s="153"/>
      <c r="E482" s="29"/>
      <c r="F482" s="153"/>
      <c r="G482" s="153"/>
      <c r="H482" s="153"/>
      <c r="I482" s="153"/>
      <c r="J482" s="153"/>
      <c r="K482" s="153"/>
      <c r="L482" s="153"/>
      <c r="M482" s="153"/>
      <c r="N482" s="153"/>
      <c r="O482" s="153"/>
      <c r="P482" s="153"/>
      <c r="Q482" s="153"/>
      <c r="R482" s="153"/>
      <c r="S482" s="153"/>
      <c r="T482" s="153"/>
      <c r="U482" s="153"/>
      <c r="V482" s="153"/>
      <c r="W482" s="153"/>
      <c r="X482" s="153"/>
      <c r="Y482" s="153"/>
      <c r="Z482" s="153"/>
      <c r="AA482" s="153"/>
      <c r="AB482" s="153"/>
      <c r="AE482" s="26"/>
      <c r="AF482" s="26"/>
      <c r="AG482" s="26"/>
      <c r="AH482" s="26"/>
      <c r="AI482" s="26"/>
      <c r="AJ482" s="26"/>
      <c r="AK482" s="26"/>
      <c r="AL482" s="1301"/>
      <c r="AM482" s="153"/>
      <c r="AN482" s="439"/>
      <c r="AO482" s="46" t="s">
        <v>1472</v>
      </c>
      <c r="AP482" s="46">
        <v>5</v>
      </c>
      <c r="AQ482" s="681"/>
      <c r="AR482" s="681"/>
      <c r="AW482" s="733"/>
    </row>
    <row r="483" spans="1:50" s="46" customFormat="1" ht="12.75" hidden="1" customHeight="1">
      <c r="A483" s="152"/>
      <c r="B483" s="153"/>
      <c r="C483" s="152"/>
      <c r="D483" s="153"/>
      <c r="E483" s="29"/>
      <c r="F483" s="153"/>
      <c r="G483" s="153"/>
      <c r="H483" s="153"/>
      <c r="I483" s="153"/>
      <c r="J483" s="153"/>
      <c r="K483" s="153"/>
      <c r="L483" s="153"/>
      <c r="M483" s="153"/>
      <c r="N483" s="153"/>
      <c r="O483" s="153"/>
      <c r="P483" s="153"/>
      <c r="Q483" s="153"/>
      <c r="R483" s="153"/>
      <c r="S483" s="153"/>
      <c r="T483" s="153"/>
      <c r="U483" s="153"/>
      <c r="V483" s="153"/>
      <c r="W483" s="153"/>
      <c r="X483" s="153"/>
      <c r="Y483" s="153"/>
      <c r="Z483" s="153"/>
      <c r="AA483" s="153"/>
      <c r="AB483" s="153"/>
      <c r="AE483" s="26"/>
      <c r="AF483" s="26"/>
      <c r="AG483" s="26"/>
      <c r="AH483" s="26"/>
      <c r="AI483" s="26"/>
      <c r="AJ483" s="26"/>
      <c r="AK483" s="26"/>
      <c r="AL483" s="1301"/>
      <c r="AM483" s="153"/>
      <c r="AN483" s="439"/>
      <c r="AO483" s="46" t="s">
        <v>1473</v>
      </c>
      <c r="AP483" s="46">
        <v>5</v>
      </c>
      <c r="AQ483" s="681"/>
      <c r="AR483" s="681"/>
      <c r="AW483" s="733"/>
    </row>
    <row r="484" spans="1:50" s="46" customFormat="1" ht="12.75" hidden="1" customHeight="1">
      <c r="A484" s="152"/>
      <c r="B484" s="153"/>
      <c r="C484" s="551" t="s">
        <v>1642</v>
      </c>
      <c r="D484" s="16"/>
      <c r="F484" s="153"/>
      <c r="G484" s="153"/>
      <c r="H484" s="153"/>
      <c r="I484" s="153"/>
      <c r="J484" s="153"/>
      <c r="K484" s="153"/>
      <c r="L484" s="153"/>
      <c r="M484" s="153"/>
      <c r="N484" s="153"/>
      <c r="O484" s="153"/>
      <c r="P484" s="153"/>
      <c r="Q484" s="153"/>
      <c r="R484" s="153"/>
      <c r="S484" s="153"/>
      <c r="T484" s="153"/>
      <c r="U484" s="153"/>
      <c r="V484" s="153"/>
      <c r="W484" s="153"/>
      <c r="X484" s="153"/>
      <c r="Y484" s="153"/>
      <c r="Z484" s="153"/>
      <c r="AA484" s="153"/>
      <c r="AB484" s="153"/>
      <c r="AE484" s="26"/>
      <c r="AF484" s="26"/>
      <c r="AG484" s="29"/>
      <c r="AH484" s="29"/>
      <c r="AI484" s="29"/>
      <c r="AJ484" s="29"/>
      <c r="AK484" s="29"/>
      <c r="AL484" s="29"/>
      <c r="AM484" s="153"/>
      <c r="AN484" s="439"/>
      <c r="AO484" s="46" t="s">
        <v>1474</v>
      </c>
      <c r="AP484" s="46">
        <v>5</v>
      </c>
      <c r="AW484" s="733"/>
    </row>
    <row r="485" spans="1:50" s="46" customFormat="1" ht="12.75" hidden="1" customHeight="1">
      <c r="A485" s="152"/>
      <c r="C485" s="2334" t="s">
        <v>136</v>
      </c>
      <c r="D485" s="2335"/>
      <c r="E485" s="1254" t="s">
        <v>212</v>
      </c>
      <c r="F485" s="2562" t="s">
        <v>1076</v>
      </c>
      <c r="G485" s="2562"/>
      <c r="H485" s="2562"/>
      <c r="I485" s="2562"/>
      <c r="J485" s="2562"/>
      <c r="K485" s="2562"/>
      <c r="L485" s="2562"/>
      <c r="M485" s="2562"/>
      <c r="N485" s="2562"/>
      <c r="O485" s="2562"/>
      <c r="P485" s="2562"/>
      <c r="Q485" s="2562"/>
      <c r="R485" s="2562"/>
      <c r="S485" s="2562"/>
      <c r="T485" s="2562"/>
      <c r="U485" s="2562"/>
      <c r="V485" s="2562"/>
      <c r="W485" s="2562"/>
      <c r="X485" s="2562"/>
      <c r="Y485" s="2562"/>
      <c r="Z485" s="2562"/>
      <c r="AA485" s="2562"/>
      <c r="AB485" s="2562"/>
      <c r="AC485" s="2562"/>
      <c r="AD485" s="2562"/>
      <c r="AE485" s="2562"/>
      <c r="AF485" s="1187"/>
      <c r="AG485" s="1187"/>
      <c r="AH485" s="1187"/>
      <c r="AI485" s="1187"/>
      <c r="AJ485" s="1187"/>
      <c r="AK485" s="1215"/>
      <c r="AL485" s="162"/>
      <c r="AN485" s="439"/>
      <c r="AO485" s="46" t="s">
        <v>2190</v>
      </c>
      <c r="AP485" s="46">
        <v>5</v>
      </c>
      <c r="AS485" s="552"/>
      <c r="AT485" s="43"/>
      <c r="AW485" s="733"/>
      <c r="AX485" s="64"/>
    </row>
    <row r="486" spans="1:50" s="46" customFormat="1" ht="12.75" hidden="1" customHeight="1">
      <c r="A486" s="28"/>
      <c r="C486" s="1223"/>
      <c r="D486" s="162"/>
      <c r="E486" s="225"/>
      <c r="F486" s="2563"/>
      <c r="G486" s="2563"/>
      <c r="H486" s="2563"/>
      <c r="I486" s="2563"/>
      <c r="J486" s="2563"/>
      <c r="K486" s="2563"/>
      <c r="L486" s="2563"/>
      <c r="M486" s="2563"/>
      <c r="N486" s="2563"/>
      <c r="O486" s="2563"/>
      <c r="P486" s="2563"/>
      <c r="Q486" s="2563"/>
      <c r="R486" s="2563"/>
      <c r="S486" s="2563"/>
      <c r="T486" s="2563"/>
      <c r="U486" s="2563"/>
      <c r="V486" s="2563"/>
      <c r="W486" s="2563"/>
      <c r="X486" s="2563"/>
      <c r="Y486" s="2563"/>
      <c r="Z486" s="2563"/>
      <c r="AA486" s="2563"/>
      <c r="AB486" s="2563"/>
      <c r="AC486" s="2563"/>
      <c r="AD486" s="2563"/>
      <c r="AE486" s="2563"/>
      <c r="AF486" s="162"/>
      <c r="AG486" s="27"/>
      <c r="AH486" s="27"/>
      <c r="AI486" s="27"/>
      <c r="AJ486" s="27"/>
      <c r="AK486" s="1195"/>
      <c r="AL486" s="162"/>
      <c r="AN486" s="439"/>
      <c r="AO486" s="46" t="s">
        <v>1475</v>
      </c>
      <c r="AP486" s="46">
        <v>1</v>
      </c>
    </row>
    <row r="487" spans="1:50" s="46" customFormat="1" ht="12.75" hidden="1" customHeight="1">
      <c r="A487" s="28"/>
      <c r="C487" s="1224"/>
      <c r="D487" s="1205"/>
      <c r="E487" s="1225"/>
      <c r="F487" s="2472" t="s">
        <v>136</v>
      </c>
      <c r="G487" s="2472"/>
      <c r="H487" s="2472"/>
      <c r="I487" s="2472"/>
      <c r="J487" s="2472"/>
      <c r="K487" s="2472"/>
      <c r="L487" s="2472"/>
      <c r="M487" s="2472"/>
      <c r="N487" s="2472"/>
      <c r="O487" s="2472"/>
      <c r="P487" s="2472"/>
      <c r="Q487" s="2472"/>
      <c r="R487" s="2472"/>
      <c r="S487" s="2472"/>
      <c r="T487" s="2472"/>
      <c r="U487" s="2472"/>
      <c r="V487" s="2472"/>
      <c r="W487" s="2472"/>
      <c r="X487" s="2472"/>
      <c r="Y487" s="2472"/>
      <c r="Z487" s="2472"/>
      <c r="AA487" s="1226"/>
      <c r="AB487" s="1227"/>
      <c r="AC487" s="1227"/>
      <c r="AD487" s="1205"/>
      <c r="AE487" s="1205"/>
      <c r="AF487" s="1205"/>
      <c r="AG487" s="1228">
        <f>IF($C$485="Yes",(VLOOKUP($F$487,$AO$458:$AP$466,2,FALSE)),0)</f>
        <v>0</v>
      </c>
      <c r="AH487" s="1229" t="s">
        <v>1078</v>
      </c>
      <c r="AI487" s="1228"/>
      <c r="AJ487" s="1228"/>
      <c r="AK487" s="1206"/>
      <c r="AL487" s="162"/>
      <c r="AN487" s="439"/>
      <c r="AS487" s="543"/>
      <c r="AW487" s="543"/>
    </row>
    <row r="488" spans="1:50" s="46" customFormat="1" ht="12.75" hidden="1" customHeight="1">
      <c r="A488" s="28"/>
      <c r="C488" s="27"/>
      <c r="E488" s="225"/>
      <c r="F488" s="59"/>
      <c r="G488" s="59"/>
      <c r="H488" s="59"/>
      <c r="I488" s="59"/>
      <c r="J488" s="59"/>
      <c r="K488" s="59"/>
      <c r="L488" s="59"/>
      <c r="M488" s="59"/>
      <c r="N488" s="59"/>
      <c r="O488" s="59"/>
      <c r="P488" s="59"/>
      <c r="Q488" s="59"/>
      <c r="R488" s="59"/>
      <c r="S488" s="59"/>
      <c r="T488" s="59"/>
      <c r="U488" s="59"/>
      <c r="V488" s="59"/>
      <c r="W488" s="59"/>
      <c r="X488" s="59"/>
      <c r="Y488" s="59"/>
      <c r="Z488" s="59"/>
      <c r="AA488" s="102"/>
      <c r="AB488" s="27"/>
      <c r="AC488" s="27"/>
      <c r="AG488" s="27"/>
      <c r="AH488" s="27"/>
      <c r="AI488" s="27"/>
      <c r="AJ488" s="27"/>
      <c r="AN488" s="439"/>
      <c r="AO488" s="46" t="s">
        <v>136</v>
      </c>
      <c r="AP488" s="64">
        <v>0</v>
      </c>
    </row>
    <row r="489" spans="1:50" s="46" customFormat="1" ht="12.75" hidden="1" customHeight="1">
      <c r="A489" s="28"/>
      <c r="C489" s="2568" t="s">
        <v>119</v>
      </c>
      <c r="D489" s="2569"/>
      <c r="E489" s="1254" t="s">
        <v>336</v>
      </c>
      <c r="F489" s="1230" t="s">
        <v>1480</v>
      </c>
      <c r="G489" s="1231"/>
      <c r="H489" s="1231"/>
      <c r="I489" s="1231"/>
      <c r="J489" s="1231"/>
      <c r="K489" s="1231"/>
      <c r="L489" s="1231"/>
      <c r="M489" s="1231"/>
      <c r="N489" s="1231"/>
      <c r="O489" s="1231"/>
      <c r="P489" s="1231"/>
      <c r="Q489" s="1231"/>
      <c r="R489" s="1231"/>
      <c r="S489" s="1231"/>
      <c r="T489" s="1231"/>
      <c r="U489" s="1231"/>
      <c r="V489" s="1231"/>
      <c r="W489" s="1231"/>
      <c r="X489" s="1231"/>
      <c r="Y489" s="1231"/>
      <c r="Z489" s="1231"/>
      <c r="AA489" s="1231"/>
      <c r="AB489" s="1231"/>
      <c r="AC489" s="1231"/>
      <c r="AD489" s="1187"/>
      <c r="AE489" s="1187"/>
      <c r="AF489" s="1187"/>
      <c r="AG489" s="1231"/>
      <c r="AH489" s="1231"/>
      <c r="AI489" s="1231"/>
      <c r="AJ489" s="1231"/>
      <c r="AK489" s="1215"/>
      <c r="AL489" s="162"/>
      <c r="AN489" s="439"/>
      <c r="AO489" s="552">
        <v>0.15</v>
      </c>
      <c r="AP489" s="64">
        <v>3</v>
      </c>
    </row>
    <row r="490" spans="1:50" s="46" customFormat="1" ht="12.75" hidden="1" customHeight="1">
      <c r="A490" s="28"/>
      <c r="C490" s="1232" t="s">
        <v>1353</v>
      </c>
      <c r="D490" s="162"/>
      <c r="E490" s="162"/>
      <c r="F490" s="893" t="s">
        <v>1676</v>
      </c>
      <c r="G490" s="27"/>
      <c r="H490" s="27"/>
      <c r="I490" s="27"/>
      <c r="J490" s="27"/>
      <c r="K490" s="27"/>
      <c r="L490" s="27"/>
      <c r="M490" s="27"/>
      <c r="N490" s="27"/>
      <c r="O490" s="27"/>
      <c r="P490" s="27"/>
      <c r="Q490" s="27"/>
      <c r="R490" s="27"/>
      <c r="S490" s="27"/>
      <c r="T490" s="27"/>
      <c r="U490" s="27"/>
      <c r="V490" s="27"/>
      <c r="W490" s="27"/>
      <c r="X490" s="27"/>
      <c r="Y490" s="27"/>
      <c r="Z490" s="27"/>
      <c r="AA490" s="27"/>
      <c r="AB490" s="27"/>
      <c r="AC490" s="1158"/>
      <c r="AD490" s="162"/>
      <c r="AE490" s="162"/>
      <c r="AF490" s="162"/>
      <c r="AG490" s="175"/>
      <c r="AH490" s="175"/>
      <c r="AI490" s="175"/>
      <c r="AJ490" s="175"/>
      <c r="AK490" s="1195"/>
      <c r="AL490" s="162"/>
      <c r="AN490" s="439"/>
      <c r="AO490" s="552">
        <v>0.2</v>
      </c>
      <c r="AP490" s="64">
        <v>5</v>
      </c>
    </row>
    <row r="491" spans="1:50" s="46" customFormat="1" ht="12.75" hidden="1" customHeight="1">
      <c r="A491" s="28"/>
      <c r="C491" s="1219"/>
      <c r="D491" s="1162"/>
      <c r="E491" s="297"/>
      <c r="F491" s="893" t="s">
        <v>2203</v>
      </c>
      <c r="G491" s="893"/>
      <c r="H491" s="893"/>
      <c r="I491" s="893"/>
      <c r="J491" s="893"/>
      <c r="K491" s="893"/>
      <c r="L491" s="893"/>
      <c r="M491" s="893"/>
      <c r="N491" s="893"/>
      <c r="O491" s="893"/>
      <c r="P491" s="893"/>
      <c r="Q491" s="893"/>
      <c r="R491" s="893"/>
      <c r="S491" s="893"/>
      <c r="T491" s="893"/>
      <c r="U491" s="893"/>
      <c r="V491" s="893"/>
      <c r="W491" s="893"/>
      <c r="X491" s="893"/>
      <c r="Y491" s="893"/>
      <c r="Z491" s="893"/>
      <c r="AA491" s="893"/>
      <c r="AB491" s="893"/>
      <c r="AC491" s="894"/>
      <c r="AD491" s="969"/>
      <c r="AE491" s="969"/>
      <c r="AF491" s="969"/>
      <c r="AG491" s="895"/>
      <c r="AH491" s="175"/>
      <c r="AI491" s="175"/>
      <c r="AJ491" s="175"/>
      <c r="AK491" s="1195"/>
      <c r="AL491" s="162"/>
      <c r="AN491" s="475"/>
      <c r="AO491" s="552"/>
      <c r="AP491" s="43"/>
    </row>
    <row r="492" spans="1:50" s="205" customFormat="1" ht="12.75" hidden="1" customHeight="1">
      <c r="A492" s="57"/>
      <c r="B492" s="46"/>
      <c r="C492" s="1223"/>
      <c r="D492" s="162"/>
      <c r="E492" s="225"/>
      <c r="F492" s="1233" t="s">
        <v>1077</v>
      </c>
      <c r="G492" s="162"/>
      <c r="H492" s="162"/>
      <c r="I492" s="893"/>
      <c r="J492" s="893"/>
      <c r="K492" s="893"/>
      <c r="L492" s="893"/>
      <c r="M492" s="893"/>
      <c r="N492" s="893"/>
      <c r="O492" s="893"/>
      <c r="P492" s="893"/>
      <c r="Q492" s="893"/>
      <c r="R492" s="893"/>
      <c r="S492" s="893"/>
      <c r="T492" s="893"/>
      <c r="U492" s="893"/>
      <c r="V492" s="2344" t="s">
        <v>136</v>
      </c>
      <c r="W492" s="2344"/>
      <c r="X492" s="2344"/>
      <c r="Y492" s="893"/>
      <c r="Z492" s="893"/>
      <c r="AA492" s="893"/>
      <c r="AB492" s="893"/>
      <c r="AC492" s="893"/>
      <c r="AD492" s="969"/>
      <c r="AE492" s="969"/>
      <c r="AF492" s="969"/>
      <c r="AG492" s="175">
        <f>IF(AND($C$489="Yes",$V$494="N/A",$V$499="N/A",$V$503="N/A",$V$505="N/A"),(VLOOKUP(V492,$AR$468:$AS$470,2,FALSE)),0)</f>
        <v>0</v>
      </c>
      <c r="AH492" s="1161" t="s">
        <v>1078</v>
      </c>
      <c r="AI492" s="27"/>
      <c r="AJ492" s="27"/>
      <c r="AK492" s="1195"/>
      <c r="AL492" s="162"/>
      <c r="AM492" s="46"/>
      <c r="AN492" s="439"/>
    </row>
    <row r="493" spans="1:50" s="205" customFormat="1" ht="12.75" hidden="1" customHeight="1">
      <c r="A493" s="57"/>
      <c r="B493" s="46"/>
      <c r="C493" s="1223"/>
      <c r="D493" s="162"/>
      <c r="E493" s="225"/>
      <c r="F493" s="1233"/>
      <c r="G493" s="162"/>
      <c r="H493" s="162"/>
      <c r="I493" s="893"/>
      <c r="J493" s="893"/>
      <c r="K493" s="893"/>
      <c r="L493" s="893"/>
      <c r="M493" s="893"/>
      <c r="N493" s="893"/>
      <c r="O493" s="893"/>
      <c r="P493" s="893"/>
      <c r="Q493" s="893"/>
      <c r="R493" s="893"/>
      <c r="S493" s="893"/>
      <c r="T493" s="893"/>
      <c r="U493" s="893"/>
      <c r="V493" s="893"/>
      <c r="W493" s="893"/>
      <c r="X493" s="893"/>
      <c r="Y493" s="893"/>
      <c r="Z493" s="893"/>
      <c r="AA493" s="893"/>
      <c r="AB493" s="893"/>
      <c r="AC493" s="893"/>
      <c r="AD493" s="969"/>
      <c r="AE493" s="969"/>
      <c r="AF493" s="969"/>
      <c r="AG493" s="175"/>
      <c r="AH493" s="1357"/>
      <c r="AI493" s="27"/>
      <c r="AJ493" s="27"/>
      <c r="AK493" s="1195"/>
      <c r="AL493" s="162"/>
      <c r="AM493" s="46"/>
      <c r="AN493" s="439"/>
    </row>
    <row r="494" spans="1:50" s="205" customFormat="1" ht="12.75" hidden="1" customHeight="1">
      <c r="A494" s="57"/>
      <c r="B494" s="46"/>
      <c r="C494" s="1223"/>
      <c r="D494" s="162"/>
      <c r="E494" s="225"/>
      <c r="F494" s="1233" t="s">
        <v>2209</v>
      </c>
      <c r="G494" s="162"/>
      <c r="H494" s="162"/>
      <c r="I494" s="893"/>
      <c r="J494" s="893"/>
      <c r="K494" s="893"/>
      <c r="L494" s="893"/>
      <c r="M494" s="893"/>
      <c r="N494" s="893"/>
      <c r="O494" s="893"/>
      <c r="P494" s="893"/>
      <c r="Q494" s="893"/>
      <c r="R494" s="893"/>
      <c r="S494" s="893"/>
      <c r="T494" s="893"/>
      <c r="U494" s="893"/>
      <c r="V494" s="2344" t="s">
        <v>136</v>
      </c>
      <c r="W494" s="2344"/>
      <c r="X494" s="2344"/>
      <c r="Y494" s="893"/>
      <c r="Z494" s="893"/>
      <c r="AA494" s="893"/>
      <c r="AB494" s="893"/>
      <c r="AC494" s="893"/>
      <c r="AD494" s="969"/>
      <c r="AE494" s="969"/>
      <c r="AF494" s="969"/>
      <c r="AG494" s="175">
        <f>IF(AND($C$489="Yes",$V$492="N/A", $V$499="N/A",$V$503="N/A",$V$505="N/A"),(VLOOKUP(V494,$AO$468:$AP$470,2,FALSE)),0)</f>
        <v>0</v>
      </c>
      <c r="AH494" s="1357" t="s">
        <v>1078</v>
      </c>
      <c r="AI494" s="27"/>
      <c r="AJ494" s="27"/>
      <c r="AK494" s="1195"/>
      <c r="AL494" s="162"/>
      <c r="AM494" s="46"/>
      <c r="AN494" s="439"/>
    </row>
    <row r="495" spans="1:50" s="46" customFormat="1" ht="12.75" hidden="1" customHeight="1">
      <c r="A495" s="28"/>
      <c r="C495" s="1223"/>
      <c r="D495" s="162"/>
      <c r="E495" s="225"/>
      <c r="F495" s="474"/>
      <c r="G495" s="384"/>
      <c r="H495" s="384"/>
      <c r="I495" s="384"/>
      <c r="J495" s="384"/>
      <c r="K495" s="384"/>
      <c r="L495" s="384"/>
      <c r="M495" s="384"/>
      <c r="N495" s="384"/>
      <c r="O495" s="384"/>
      <c r="P495" s="384"/>
      <c r="Q495" s="27"/>
      <c r="R495" s="27"/>
      <c r="S495" s="27"/>
      <c r="T495" s="27"/>
      <c r="U495" s="27"/>
      <c r="V495" s="27"/>
      <c r="W495" s="27"/>
      <c r="X495" s="27"/>
      <c r="Y495" s="27"/>
      <c r="Z495" s="27"/>
      <c r="AA495" s="27"/>
      <c r="AB495" s="27"/>
      <c r="AC495" s="27"/>
      <c r="AD495" s="162"/>
      <c r="AE495" s="162"/>
      <c r="AF495" s="162"/>
      <c r="AG495" s="474"/>
      <c r="AH495" s="474"/>
      <c r="AI495" s="474"/>
      <c r="AJ495" s="474"/>
      <c r="AK495" s="1195"/>
      <c r="AL495" s="162"/>
      <c r="AN495" s="439"/>
      <c r="AO495" s="46" t="s">
        <v>136</v>
      </c>
      <c r="AP495" s="46">
        <v>0</v>
      </c>
    </row>
    <row r="496" spans="1:50" s="46" customFormat="1" ht="12.75" hidden="1" customHeight="1">
      <c r="A496" s="28"/>
      <c r="C496" s="1223"/>
      <c r="D496" s="162"/>
      <c r="E496" s="225"/>
      <c r="F496" s="384" t="s">
        <v>1479</v>
      </c>
      <c r="G496" s="162"/>
      <c r="H496" s="162"/>
      <c r="I496" s="225"/>
      <c r="J496" s="225"/>
      <c r="K496" s="225"/>
      <c r="L496" s="225"/>
      <c r="M496" s="225"/>
      <c r="N496" s="225"/>
      <c r="O496" s="225"/>
      <c r="P496" s="225"/>
      <c r="Q496" s="27"/>
      <c r="R496" s="27"/>
      <c r="S496" s="27"/>
      <c r="T496" s="27"/>
      <c r="U496" s="27"/>
      <c r="V496" s="27"/>
      <c r="W496" s="27"/>
      <c r="X496" s="27"/>
      <c r="Y496" s="27"/>
      <c r="Z496" s="27"/>
      <c r="AA496" s="27"/>
      <c r="AB496" s="27"/>
      <c r="AC496" s="27"/>
      <c r="AD496" s="162"/>
      <c r="AE496" s="162"/>
      <c r="AF496" s="162"/>
      <c r="AG496" s="162"/>
      <c r="AH496" s="162"/>
      <c r="AI496" s="162"/>
      <c r="AJ496" s="27"/>
      <c r="AK496" s="1195"/>
      <c r="AL496" s="162"/>
      <c r="AN496" s="439"/>
      <c r="AO496" s="46" t="s">
        <v>1482</v>
      </c>
      <c r="AP496" s="64">
        <v>2</v>
      </c>
    </row>
    <row r="497" spans="1:147" s="46" customFormat="1" ht="12.75" hidden="1" customHeight="1">
      <c r="A497" s="28"/>
      <c r="C497" s="1223"/>
      <c r="D497" s="28"/>
      <c r="E497" s="28"/>
      <c r="F497" s="969" t="s">
        <v>2186</v>
      </c>
      <c r="G497" s="28"/>
      <c r="H497" s="28"/>
      <c r="I497" s="28"/>
      <c r="J497" s="28"/>
      <c r="K497" s="28"/>
      <c r="L497" s="28"/>
      <c r="M497" s="225"/>
      <c r="N497" s="225"/>
      <c r="O497" s="225"/>
      <c r="P497" s="225"/>
      <c r="Q497" s="27"/>
      <c r="R497" s="27"/>
      <c r="S497" s="27"/>
      <c r="T497" s="27"/>
      <c r="U497" s="27"/>
      <c r="V497" s="27"/>
      <c r="W497" s="27"/>
      <c r="X497" s="27"/>
      <c r="Y497" s="27"/>
      <c r="Z497" s="27"/>
      <c r="AA497" s="27"/>
      <c r="AB497" s="27"/>
      <c r="AC497" s="27"/>
      <c r="AD497" s="162"/>
      <c r="AE497" s="162"/>
      <c r="AF497" s="162"/>
      <c r="AG497" s="175"/>
      <c r="AH497" s="1161"/>
      <c r="AI497" s="27"/>
      <c r="AJ497" s="27"/>
      <c r="AK497" s="1195"/>
      <c r="AL497" s="162"/>
      <c r="AN497" s="439"/>
      <c r="AO497" s="46" t="s">
        <v>1085</v>
      </c>
      <c r="AP497" s="46">
        <v>2</v>
      </c>
    </row>
    <row r="498" spans="1:147" s="205" customFormat="1" ht="12.75" hidden="1" customHeight="1">
      <c r="A498" s="28"/>
      <c r="B498" s="46"/>
      <c r="C498" s="1198"/>
      <c r="D498" s="102"/>
      <c r="E498" s="102"/>
      <c r="F498" s="969" t="s">
        <v>2187</v>
      </c>
      <c r="G498" s="28"/>
      <c r="H498" s="28"/>
      <c r="I498" s="28"/>
      <c r="J498" s="28"/>
      <c r="K498" s="28"/>
      <c r="L498" s="28"/>
      <c r="M498" s="225"/>
      <c r="N498" s="225"/>
      <c r="O498" s="225"/>
      <c r="P498" s="225"/>
      <c r="Q498" s="27"/>
      <c r="R498" s="27"/>
      <c r="S498" s="27"/>
      <c r="T498" s="27"/>
      <c r="U498" s="27"/>
      <c r="V498" s="27"/>
      <c r="W498" s="27"/>
      <c r="X498" s="27"/>
      <c r="Y498" s="27"/>
      <c r="Z498" s="27"/>
      <c r="AA498" s="27"/>
      <c r="AB498" s="27"/>
      <c r="AC498" s="27"/>
      <c r="AD498" s="162"/>
      <c r="AE498" s="162"/>
      <c r="AF498" s="162"/>
      <c r="AG498" s="175"/>
      <c r="AH498" s="1161"/>
      <c r="AI498" s="27"/>
      <c r="AJ498" s="27"/>
      <c r="AK498" s="1195"/>
      <c r="AL498" s="162"/>
      <c r="AM498" s="46"/>
      <c r="AN498" s="475"/>
      <c r="AO498" s="46" t="s">
        <v>1086</v>
      </c>
      <c r="AP498" s="46">
        <v>2</v>
      </c>
    </row>
    <row r="499" spans="1:147" s="46" customFormat="1" ht="12.75" hidden="1" customHeight="1">
      <c r="A499" s="28"/>
      <c r="C499" s="1234"/>
      <c r="D499" s="28"/>
      <c r="E499" s="28"/>
      <c r="F499" s="1233" t="s">
        <v>1481</v>
      </c>
      <c r="G499" s="28"/>
      <c r="H499" s="28"/>
      <c r="I499" s="28"/>
      <c r="J499" s="28"/>
      <c r="K499" s="28"/>
      <c r="L499" s="28"/>
      <c r="M499" s="225"/>
      <c r="N499" s="225"/>
      <c r="O499" s="225"/>
      <c r="P499" s="225"/>
      <c r="Q499" s="27"/>
      <c r="R499" s="27"/>
      <c r="S499" s="27"/>
      <c r="T499" s="27"/>
      <c r="U499" s="27"/>
      <c r="V499" s="2344" t="s">
        <v>136</v>
      </c>
      <c r="W499" s="2344"/>
      <c r="X499" s="2344"/>
      <c r="Y499" s="27"/>
      <c r="Z499" s="27"/>
      <c r="AA499" s="27"/>
      <c r="AB499" s="27"/>
      <c r="AC499" s="27"/>
      <c r="AD499" s="162"/>
      <c r="AE499" s="162"/>
      <c r="AF499" s="162"/>
      <c r="AG499" s="175">
        <f>IF(AND($C$489="Yes",$V$492="N/A",$V$494="N/A", $V$503="N/A",$V$505="N/A"),(VLOOKUP($V$499,$AO$472:$AP$474,2,FALSE)),0)</f>
        <v>0</v>
      </c>
      <c r="AH499" s="1161" t="s">
        <v>1078</v>
      </c>
      <c r="AI499" s="27"/>
      <c r="AJ499" s="27"/>
      <c r="AK499" s="1195"/>
      <c r="AL499" s="162"/>
      <c r="AN499" s="1136"/>
    </row>
    <row r="500" spans="1:147" s="46" customFormat="1" ht="12.75" hidden="1" customHeight="1">
      <c r="A500" s="28"/>
      <c r="C500" s="1223"/>
      <c r="D500" s="28"/>
      <c r="E500" s="28"/>
      <c r="F500" s="162"/>
      <c r="G500" s="162"/>
      <c r="H500" s="162"/>
      <c r="I500" s="28"/>
      <c r="J500" s="28"/>
      <c r="K500" s="28"/>
      <c r="L500" s="28"/>
      <c r="M500" s="225"/>
      <c r="N500" s="225"/>
      <c r="O500" s="225"/>
      <c r="P500" s="225"/>
      <c r="Q500" s="27"/>
      <c r="R500" s="27"/>
      <c r="S500" s="27"/>
      <c r="T500" s="27"/>
      <c r="U500" s="27"/>
      <c r="V500" s="27"/>
      <c r="W500" s="27"/>
      <c r="X500" s="27"/>
      <c r="Y500" s="27"/>
      <c r="Z500" s="27"/>
      <c r="AA500" s="27"/>
      <c r="AB500" s="27"/>
      <c r="AC500" s="27"/>
      <c r="AD500" s="162"/>
      <c r="AE500" s="162"/>
      <c r="AF500" s="162"/>
      <c r="AG500" s="162"/>
      <c r="AH500" s="162"/>
      <c r="AI500" s="162"/>
      <c r="AJ500" s="27"/>
      <c r="AK500" s="1195"/>
      <c r="AL500" s="162"/>
      <c r="AN500" s="1149"/>
    </row>
    <row r="501" spans="1:147" s="205" customFormat="1" ht="12.75" hidden="1" customHeight="1">
      <c r="A501" s="28"/>
      <c r="B501" s="153"/>
      <c r="C501" s="1238" t="s">
        <v>1354</v>
      </c>
      <c r="D501" s="1239"/>
      <c r="E501" s="1239"/>
      <c r="F501" s="1240" t="s">
        <v>1478</v>
      </c>
      <c r="G501" s="1187"/>
      <c r="H501" s="1187"/>
      <c r="I501" s="1239"/>
      <c r="J501" s="1239"/>
      <c r="K501" s="1239"/>
      <c r="L501" s="1239"/>
      <c r="M501" s="1239"/>
      <c r="N501" s="1239"/>
      <c r="O501" s="1239"/>
      <c r="P501" s="1239"/>
      <c r="Q501" s="1239"/>
      <c r="R501" s="1239"/>
      <c r="S501" s="1239"/>
      <c r="T501" s="1239"/>
      <c r="U501" s="1239"/>
      <c r="V501" s="1239"/>
      <c r="W501" s="1239"/>
      <c r="X501" s="1239"/>
      <c r="Y501" s="1239"/>
      <c r="Z501" s="1239"/>
      <c r="AA501" s="1239"/>
      <c r="AB501" s="1239"/>
      <c r="AC501" s="1239"/>
      <c r="AD501" s="1187"/>
      <c r="AE501" s="1187"/>
      <c r="AF501" s="1187"/>
      <c r="AG501" s="1187"/>
      <c r="AH501" s="1187"/>
      <c r="AI501" s="1187"/>
      <c r="AJ501" s="1239"/>
      <c r="AK501" s="1215"/>
      <c r="AL501" s="162"/>
      <c r="AM501" s="46"/>
      <c r="AN501" s="1137"/>
      <c r="AO501" s="46" t="s">
        <v>136</v>
      </c>
      <c r="AP501" s="46">
        <v>0</v>
      </c>
      <c r="AQ501" s="62"/>
    </row>
    <row r="502" spans="1:147" s="205" customFormat="1" ht="12.75" hidden="1" customHeight="1">
      <c r="A502" s="28"/>
      <c r="B502" s="153"/>
      <c r="C502" s="1235"/>
      <c r="D502" s="1892"/>
      <c r="E502" s="1892"/>
      <c r="F502" s="893" t="s">
        <v>1477</v>
      </c>
      <c r="G502" s="474"/>
      <c r="H502" s="474"/>
      <c r="I502" s="162"/>
      <c r="J502" s="162"/>
      <c r="K502" s="162"/>
      <c r="L502" s="162"/>
      <c r="M502" s="162"/>
      <c r="N502" s="162"/>
      <c r="O502" s="162"/>
      <c r="P502" s="162"/>
      <c r="Q502" s="162"/>
      <c r="R502" s="162"/>
      <c r="S502" s="162"/>
      <c r="T502" s="162"/>
      <c r="U502" s="162"/>
      <c r="V502" s="474"/>
      <c r="W502" s="474"/>
      <c r="X502" s="474"/>
      <c r="Y502" s="162"/>
      <c r="Z502" s="162"/>
      <c r="AA502" s="162"/>
      <c r="AB502" s="162"/>
      <c r="AC502" s="162"/>
      <c r="AD502" s="162"/>
      <c r="AE502" s="162"/>
      <c r="AF502" s="162"/>
      <c r="AG502" s="474"/>
      <c r="AH502" s="474"/>
      <c r="AI502" s="474"/>
      <c r="AJ502" s="474"/>
      <c r="AK502" s="1195"/>
      <c r="AL502" s="162"/>
      <c r="AM502" s="46"/>
      <c r="AN502" s="1137"/>
      <c r="AO502" s="46" t="s">
        <v>1490</v>
      </c>
      <c r="AP502" s="64">
        <v>5</v>
      </c>
      <c r="AQ502" s="63"/>
    </row>
    <row r="503" spans="1:147" s="16" customFormat="1" ht="12.75" hidden="1" customHeight="1">
      <c r="A503" s="195"/>
      <c r="B503" s="153"/>
      <c r="C503" s="1223"/>
      <c r="D503" s="162"/>
      <c r="E503" s="162"/>
      <c r="F503" s="896" t="s">
        <v>1077</v>
      </c>
      <c r="G503" s="162"/>
      <c r="H503" s="162"/>
      <c r="I503" s="162"/>
      <c r="J503" s="162"/>
      <c r="K503" s="162"/>
      <c r="L503" s="162"/>
      <c r="M503" s="162"/>
      <c r="N503" s="162"/>
      <c r="O503" s="162"/>
      <c r="P503" s="162"/>
      <c r="Q503" s="162"/>
      <c r="R503" s="162"/>
      <c r="S503" s="162"/>
      <c r="T503" s="162"/>
      <c r="U503" s="162"/>
      <c r="V503" s="2344" t="s">
        <v>136</v>
      </c>
      <c r="W503" s="2344"/>
      <c r="X503" s="2344"/>
      <c r="Y503" s="162"/>
      <c r="Z503" s="162"/>
      <c r="AA503" s="162"/>
      <c r="AB503" s="162"/>
      <c r="AC503" s="162"/>
      <c r="AD503" s="162"/>
      <c r="AE503" s="162"/>
      <c r="AF503" s="162"/>
      <c r="AG503" s="175">
        <f>IF(AND($C$489="Yes",$V$492="N/A",V494="N/A",$V$499="N/A",$V$505="N/A"),(VLOOKUP($V$503,$AW$468:$AX$471,2,FALSE)),0)</f>
        <v>0</v>
      </c>
      <c r="AH503" s="1161" t="s">
        <v>1078</v>
      </c>
      <c r="AI503" s="27"/>
      <c r="AJ503" s="162"/>
      <c r="AK503" s="1195"/>
      <c r="AL503" s="162"/>
      <c r="AM503" s="46"/>
      <c r="AN503" s="317"/>
      <c r="AO503" s="46" t="s">
        <v>1491</v>
      </c>
      <c r="AP503" s="46">
        <v>5</v>
      </c>
      <c r="AS503" s="46"/>
      <c r="AT503" s="46"/>
      <c r="AU503" s="46"/>
      <c r="AV503" s="46"/>
      <c r="AW503" s="46"/>
      <c r="AX503" s="46"/>
      <c r="AY503" s="46"/>
      <c r="AZ503" s="46"/>
      <c r="BA503" s="46"/>
      <c r="BB503" s="46"/>
      <c r="BO503" s="46"/>
      <c r="BP503" s="46"/>
      <c r="BQ503" s="46"/>
      <c r="BR503" s="46"/>
      <c r="BS503" s="46"/>
      <c r="BT503" s="46"/>
      <c r="BU503" s="46"/>
      <c r="BV503" s="46"/>
      <c r="BW503" s="46"/>
      <c r="BX503" s="46"/>
      <c r="BY503" s="46"/>
      <c r="BZ503" s="46"/>
      <c r="CA503" s="46"/>
      <c r="CB503" s="46"/>
      <c r="CC503" s="46"/>
      <c r="DN503" s="65"/>
      <c r="DO503" s="65"/>
      <c r="DP503" s="65"/>
      <c r="DQ503" s="65"/>
      <c r="DR503" s="65"/>
      <c r="DS503" s="65"/>
      <c r="DT503" s="65"/>
      <c r="DU503" s="65"/>
      <c r="DV503" s="65"/>
      <c r="DW503" s="65"/>
      <c r="DX503" s="65"/>
      <c r="DY503" s="65"/>
      <c r="DZ503" s="65"/>
      <c r="EA503" s="65"/>
      <c r="EB503" s="65"/>
      <c r="EC503" s="65"/>
      <c r="ED503" s="65"/>
      <c r="EE503" s="65"/>
      <c r="EF503" s="65"/>
      <c r="EG503" s="65"/>
      <c r="EH503" s="65"/>
      <c r="EI503" s="65"/>
      <c r="EJ503" s="65"/>
      <c r="EK503" s="65"/>
      <c r="EL503" s="65"/>
      <c r="EM503" s="65"/>
      <c r="EN503" s="65"/>
      <c r="EO503" s="65"/>
      <c r="EP503" s="65"/>
      <c r="EQ503" s="65"/>
    </row>
    <row r="504" spans="1:147" s="16" customFormat="1" ht="12.75" hidden="1" customHeight="1">
      <c r="A504" s="195"/>
      <c r="B504" s="153"/>
      <c r="C504" s="1223"/>
      <c r="D504" s="162"/>
      <c r="E504" s="162"/>
      <c r="F504" s="35"/>
      <c r="G504" s="35"/>
      <c r="H504" s="35"/>
      <c r="I504" s="162"/>
      <c r="J504" s="162"/>
      <c r="K504" s="162"/>
      <c r="L504" s="162"/>
      <c r="M504" s="162"/>
      <c r="N504" s="162"/>
      <c r="O504" s="162"/>
      <c r="P504" s="162"/>
      <c r="Q504" s="162"/>
      <c r="R504" s="162"/>
      <c r="S504" s="162"/>
      <c r="T504" s="162"/>
      <c r="U504" s="162"/>
      <c r="V504" s="162"/>
      <c r="W504" s="162"/>
      <c r="X504" s="162"/>
      <c r="Y504" s="162"/>
      <c r="Z504" s="162"/>
      <c r="AA504" s="162"/>
      <c r="AB504" s="162"/>
      <c r="AC504" s="162"/>
      <c r="AD504" s="162"/>
      <c r="AE504" s="162"/>
      <c r="AF504" s="162"/>
      <c r="AG504" s="35"/>
      <c r="AH504" s="35"/>
      <c r="AI504" s="35"/>
      <c r="AJ504" s="35"/>
      <c r="AK504" s="1195"/>
      <c r="AL504" s="162"/>
      <c r="AM504" s="46"/>
      <c r="AN504" s="317"/>
      <c r="AO504" s="46" t="s">
        <v>1493</v>
      </c>
      <c r="AP504" s="46">
        <v>5</v>
      </c>
      <c r="AS504" s="46"/>
      <c r="AT504" s="46"/>
      <c r="AU504" s="46"/>
      <c r="AV504" s="46"/>
      <c r="AW504" s="46"/>
      <c r="AX504" s="46"/>
      <c r="AY504" s="46"/>
      <c r="AZ504" s="46"/>
      <c r="BA504" s="46"/>
      <c r="BB504" s="46"/>
      <c r="BC504" s="46"/>
      <c r="BD504" s="46"/>
      <c r="BE504" s="46"/>
      <c r="BF504" s="46"/>
      <c r="BG504" s="46"/>
      <c r="BH504" s="46"/>
      <c r="BI504" s="46"/>
      <c r="BJ504" s="46"/>
      <c r="BK504" s="46"/>
      <c r="BL504" s="46"/>
      <c r="BM504" s="46"/>
      <c r="BN504" s="46"/>
      <c r="BO504" s="46"/>
      <c r="BP504" s="46"/>
      <c r="BQ504" s="46"/>
      <c r="BR504" s="46"/>
      <c r="BS504" s="46"/>
      <c r="BT504" s="46"/>
      <c r="BU504" s="46"/>
      <c r="BV504" s="46"/>
      <c r="BW504" s="46"/>
      <c r="BX504" s="46"/>
      <c r="BY504" s="46"/>
      <c r="BZ504" s="46"/>
      <c r="CA504" s="46"/>
      <c r="CB504" s="46"/>
      <c r="CC504" s="46"/>
      <c r="DN504" s="65"/>
      <c r="DO504" s="65"/>
      <c r="DP504" s="65"/>
      <c r="DQ504" s="65"/>
      <c r="DR504" s="65"/>
      <c r="DS504" s="65"/>
      <c r="DT504" s="65"/>
      <c r="DU504" s="65"/>
      <c r="DV504" s="65"/>
      <c r="DW504" s="65"/>
      <c r="DX504" s="65"/>
      <c r="DY504" s="65"/>
      <c r="DZ504" s="65"/>
      <c r="EA504" s="65"/>
      <c r="EB504" s="65"/>
      <c r="EC504" s="65"/>
      <c r="ED504" s="65"/>
      <c r="EE504" s="65"/>
      <c r="EF504" s="65"/>
      <c r="EG504" s="65"/>
      <c r="EH504" s="65"/>
      <c r="EI504" s="65"/>
      <c r="EJ504" s="65"/>
      <c r="EK504" s="65"/>
      <c r="EL504" s="65"/>
      <c r="EM504" s="65"/>
      <c r="EN504" s="65"/>
      <c r="EO504" s="65"/>
      <c r="EP504" s="65"/>
      <c r="EQ504" s="65"/>
    </row>
    <row r="505" spans="1:147" s="63" customFormat="1" ht="12.75" hidden="1" customHeight="1">
      <c r="A505" s="195"/>
      <c r="B505" s="153"/>
      <c r="C505" s="1224"/>
      <c r="D505" s="1205"/>
      <c r="E505" s="1205"/>
      <c r="F505" s="1233" t="s">
        <v>2209</v>
      </c>
      <c r="G505" s="1236"/>
      <c r="H505" s="1236"/>
      <c r="I505" s="1205"/>
      <c r="J505" s="1205"/>
      <c r="K505" s="1205"/>
      <c r="L505" s="1205"/>
      <c r="M505" s="1205"/>
      <c r="N505" s="1205"/>
      <c r="O505" s="1205"/>
      <c r="P505" s="1205"/>
      <c r="Q505" s="1205"/>
      <c r="R505" s="1205"/>
      <c r="S505" s="1205"/>
      <c r="T505" s="1205"/>
      <c r="U505" s="1205"/>
      <c r="V505" s="2344" t="s">
        <v>136</v>
      </c>
      <c r="W505" s="2344"/>
      <c r="X505" s="2344"/>
      <c r="Y505" s="1205"/>
      <c r="Z505" s="1205"/>
      <c r="AA505" s="1205"/>
      <c r="AB505" s="1205"/>
      <c r="AC505" s="1205"/>
      <c r="AD505" s="1205"/>
      <c r="AE505" s="1205"/>
      <c r="AF505" s="1205"/>
      <c r="AG505" s="1237">
        <f>IF(AND($C$489="Yes",$V$492="N/A",$V$494="N/A",$V$499="N/A",$V$503="N/A"),(VLOOKUP($V$505,$BA$468:$BB$470,2,FALSE)),0)</f>
        <v>0</v>
      </c>
      <c r="AH505" s="1229" t="s">
        <v>1078</v>
      </c>
      <c r="AI505" s="1205"/>
      <c r="AJ505" s="1205"/>
      <c r="AK505" s="1206"/>
      <c r="AL505" s="162"/>
      <c r="AM505" s="46"/>
      <c r="AN505" s="1150"/>
      <c r="AP505" s="205"/>
      <c r="AQ505" s="205"/>
      <c r="AR505" s="205"/>
      <c r="AS505" s="205"/>
      <c r="AT505" s="205"/>
      <c r="AU505" s="205"/>
      <c r="AV505" s="205"/>
      <c r="AW505" s="205"/>
      <c r="AX505" s="205"/>
      <c r="AY505" s="205"/>
      <c r="AZ505" s="205"/>
      <c r="BA505" s="205"/>
      <c r="BB505" s="205"/>
      <c r="BC505" s="205"/>
      <c r="BE505" s="205"/>
      <c r="BF505" s="205"/>
      <c r="BG505" s="205"/>
      <c r="BH505" s="205"/>
      <c r="BI505" s="205"/>
      <c r="BJ505" s="205"/>
      <c r="BK505" s="205"/>
      <c r="BL505" s="205"/>
      <c r="BM505" s="205"/>
      <c r="BN505" s="205"/>
      <c r="BO505" s="205"/>
      <c r="BP505" s="205"/>
      <c r="BQ505" s="205"/>
      <c r="BR505" s="205"/>
      <c r="DN505" s="401"/>
      <c r="DO505" s="401"/>
      <c r="DP505" s="401"/>
      <c r="DQ505" s="401"/>
      <c r="DR505" s="401"/>
      <c r="DS505" s="401"/>
      <c r="DT505" s="401"/>
      <c r="DU505" s="401"/>
      <c r="DV505" s="401"/>
      <c r="DW505" s="401"/>
      <c r="DX505" s="401"/>
      <c r="DY505" s="401"/>
      <c r="DZ505" s="401"/>
      <c r="EA505" s="401"/>
      <c r="EB505" s="401"/>
      <c r="EC505" s="401"/>
      <c r="ED505" s="401"/>
      <c r="EE505" s="401"/>
      <c r="EF505" s="401"/>
      <c r="EG505" s="401"/>
      <c r="EH505" s="401"/>
      <c r="EI505" s="401"/>
      <c r="EJ505" s="401"/>
      <c r="EK505" s="401"/>
      <c r="EL505" s="401"/>
      <c r="EM505" s="401"/>
      <c r="EN505" s="401"/>
      <c r="EO505" s="401"/>
      <c r="EP505" s="401"/>
      <c r="EQ505" s="401"/>
    </row>
    <row r="506" spans="1:147" s="63" customFormat="1" ht="12.75" hidden="1" customHeight="1">
      <c r="A506" s="195"/>
      <c r="B506" s="153"/>
      <c r="C506" s="27"/>
      <c r="D506" s="46"/>
      <c r="E506" s="225"/>
      <c r="F506" s="46"/>
      <c r="G506" s="46"/>
      <c r="H506" s="46"/>
      <c r="I506" s="46"/>
      <c r="J506" s="46"/>
      <c r="K506" s="46"/>
      <c r="L506" s="46"/>
      <c r="M506" s="46"/>
      <c r="N506" s="46"/>
      <c r="O506" s="46"/>
      <c r="P506" s="46"/>
      <c r="Q506" s="46"/>
      <c r="R506" s="46"/>
      <c r="S506" s="46"/>
      <c r="T506" s="46"/>
      <c r="U506" s="46"/>
      <c r="V506" s="46"/>
      <c r="W506" s="46"/>
      <c r="X506" s="46"/>
      <c r="Y506" s="46"/>
      <c r="Z506" s="46"/>
      <c r="AA506" s="46"/>
      <c r="AB506" s="46"/>
      <c r="AC506" s="46"/>
      <c r="AD506" s="46"/>
      <c r="AE506" s="46"/>
      <c r="AF506" s="46"/>
      <c r="AG506" s="46"/>
      <c r="AH506" s="46"/>
      <c r="AI506" s="46"/>
      <c r="AJ506" s="46"/>
      <c r="AK506" s="46"/>
      <c r="AL506" s="46"/>
      <c r="AM506" s="46"/>
      <c r="AN506" s="1150"/>
      <c r="AO506" s="400"/>
      <c r="AP506" s="46"/>
      <c r="AQ506" s="46"/>
      <c r="AR506" s="46"/>
      <c r="AS506" s="46"/>
      <c r="AT506" s="46"/>
      <c r="AU506" s="2358" t="s">
        <v>723</v>
      </c>
      <c r="AV506" s="2359"/>
      <c r="AW506" s="2359"/>
      <c r="AX506" s="2359"/>
      <c r="AY506" s="2359"/>
      <c r="AZ506" s="2359"/>
      <c r="BA506" s="2359"/>
      <c r="BB506" s="205"/>
      <c r="BC506" s="205"/>
      <c r="BE506" s="46"/>
      <c r="BF506" s="46"/>
      <c r="BG506" s="46"/>
      <c r="BH506" s="46"/>
      <c r="BI506" s="46"/>
      <c r="BJ506" s="2356" t="s">
        <v>35</v>
      </c>
      <c r="BK506" s="2357"/>
      <c r="BL506" s="2357"/>
      <c r="BM506" s="2357"/>
      <c r="BN506" s="2357"/>
      <c r="BO506" s="2357"/>
      <c r="BP506" s="2357"/>
      <c r="BQ506" s="205"/>
      <c r="BR506" s="46"/>
      <c r="DN506" s="401"/>
      <c r="DO506" s="401"/>
      <c r="DP506" s="401"/>
      <c r="DQ506" s="401"/>
      <c r="DR506" s="401"/>
      <c r="DS506" s="401"/>
      <c r="DT506" s="401"/>
      <c r="DU506" s="401"/>
      <c r="DV506" s="401"/>
      <c r="DW506" s="401"/>
      <c r="DX506" s="401"/>
      <c r="DY506" s="401"/>
      <c r="DZ506" s="401"/>
      <c r="EA506" s="401"/>
      <c r="EB506" s="401"/>
      <c r="EC506" s="401"/>
      <c r="ED506" s="401"/>
      <c r="EE506" s="401"/>
      <c r="EF506" s="401"/>
      <c r="EG506" s="401"/>
      <c r="EH506" s="401"/>
      <c r="EI506" s="401"/>
      <c r="EJ506" s="401"/>
      <c r="EK506" s="401"/>
      <c r="EL506" s="401"/>
      <c r="EM506" s="401"/>
      <c r="EN506" s="401"/>
      <c r="EO506" s="401"/>
      <c r="EP506" s="401"/>
      <c r="EQ506" s="401"/>
    </row>
    <row r="507" spans="1:147" s="63" customFormat="1" ht="12.75" hidden="1" customHeight="1">
      <c r="A507" s="195"/>
      <c r="B507" s="46"/>
      <c r="C507" s="551" t="s">
        <v>1643</v>
      </c>
      <c r="D507" s="153"/>
      <c r="E507" s="225"/>
      <c r="F507" s="27"/>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46"/>
      <c r="AE507" s="46"/>
      <c r="AF507" s="46"/>
      <c r="AG507" s="27"/>
      <c r="AH507" s="27"/>
      <c r="AI507" s="27"/>
      <c r="AJ507" s="27"/>
      <c r="AK507" s="46"/>
      <c r="AL507" s="46"/>
      <c r="AM507" s="46"/>
      <c r="AN507" s="1150"/>
      <c r="AO507" s="400"/>
      <c r="AP507" s="46"/>
      <c r="AQ507" s="46"/>
      <c r="AR507" s="46"/>
      <c r="AS507" s="46"/>
      <c r="AT507" s="46"/>
      <c r="AU507" s="2358"/>
      <c r="AV507" s="2359"/>
      <c r="AW507" s="2359"/>
      <c r="AX507" s="2359"/>
      <c r="AY507" s="2359"/>
      <c r="AZ507" s="2359"/>
      <c r="BA507" s="2359"/>
      <c r="BB507" s="205"/>
      <c r="BC507" s="205"/>
      <c r="BE507" s="46"/>
      <c r="BF507" s="46"/>
      <c r="BG507" s="46"/>
      <c r="BH507" s="46"/>
      <c r="BI507" s="46"/>
      <c r="BJ507" s="2356"/>
      <c r="BK507" s="2357"/>
      <c r="BL507" s="2357"/>
      <c r="BM507" s="2357"/>
      <c r="BN507" s="2357"/>
      <c r="BO507" s="2357"/>
      <c r="BP507" s="2357"/>
      <c r="BQ507" s="205"/>
      <c r="BR507" s="46"/>
    </row>
    <row r="508" spans="1:147" s="16" customFormat="1" ht="12.75" hidden="1" customHeight="1">
      <c r="A508" s="195"/>
      <c r="B508" s="46"/>
      <c r="C508" s="2334" t="s">
        <v>136</v>
      </c>
      <c r="D508" s="2335"/>
      <c r="E508" s="1241" t="s">
        <v>212</v>
      </c>
      <c r="F508" s="2562" t="s">
        <v>1076</v>
      </c>
      <c r="G508" s="2562"/>
      <c r="H508" s="2562"/>
      <c r="I508" s="2562"/>
      <c r="J508" s="2562"/>
      <c r="K508" s="2562"/>
      <c r="L508" s="2562"/>
      <c r="M508" s="2562"/>
      <c r="N508" s="2562"/>
      <c r="O508" s="2562"/>
      <c r="P508" s="2562"/>
      <c r="Q508" s="2562"/>
      <c r="R508" s="2562"/>
      <c r="S508" s="2562"/>
      <c r="T508" s="2562"/>
      <c r="U508" s="2562"/>
      <c r="V508" s="2562"/>
      <c r="W508" s="2562"/>
      <c r="X508" s="2562"/>
      <c r="Y508" s="2562"/>
      <c r="Z508" s="2562"/>
      <c r="AA508" s="2562"/>
      <c r="AB508" s="2562"/>
      <c r="AC508" s="2562"/>
      <c r="AD508" s="2562"/>
      <c r="AE508" s="2562"/>
      <c r="AF508" s="1187"/>
      <c r="AG508" s="1242"/>
      <c r="AH508" s="1242"/>
      <c r="AI508" s="1242"/>
      <c r="AJ508" s="1242"/>
      <c r="AK508" s="1215"/>
      <c r="AL508" s="162"/>
      <c r="AM508" s="46"/>
      <c r="AN508" s="1135"/>
      <c r="AO508" s="132"/>
      <c r="AP508" s="46"/>
      <c r="AQ508" s="46"/>
      <c r="AR508" s="46"/>
      <c r="AS508" s="46"/>
      <c r="AT508" s="46">
        <v>60</v>
      </c>
      <c r="AU508" s="242">
        <v>55</v>
      </c>
      <c r="AV508" s="242">
        <v>50</v>
      </c>
      <c r="AW508" s="242">
        <v>45</v>
      </c>
      <c r="AX508" s="242">
        <v>40</v>
      </c>
      <c r="AY508" s="242">
        <v>35</v>
      </c>
      <c r="AZ508" s="242">
        <v>30</v>
      </c>
      <c r="BA508" s="242">
        <v>20</v>
      </c>
      <c r="BB508" s="46"/>
      <c r="BC508" s="46"/>
      <c r="BE508" s="46"/>
      <c r="BF508" s="46"/>
      <c r="BG508" s="46"/>
      <c r="BH508" s="46"/>
      <c r="BI508" s="46">
        <v>60</v>
      </c>
      <c r="BJ508" s="242">
        <v>55</v>
      </c>
      <c r="BK508" s="242">
        <v>50</v>
      </c>
      <c r="BL508" s="242">
        <v>45</v>
      </c>
      <c r="BM508" s="242">
        <v>40</v>
      </c>
      <c r="BN508" s="242">
        <v>35</v>
      </c>
      <c r="BO508" s="242">
        <v>30</v>
      </c>
      <c r="BP508" s="242">
        <v>20</v>
      </c>
      <c r="BQ508" s="46"/>
      <c r="BR508" s="46"/>
    </row>
    <row r="509" spans="1:147" s="16" customFormat="1" ht="12.75" hidden="1" customHeight="1">
      <c r="A509" s="195"/>
      <c r="B509" s="46"/>
      <c r="C509" s="1223"/>
      <c r="D509" s="162"/>
      <c r="E509" s="225"/>
      <c r="F509" s="2563"/>
      <c r="G509" s="2563"/>
      <c r="H509" s="2563"/>
      <c r="I509" s="2563"/>
      <c r="J509" s="2563"/>
      <c r="K509" s="2563"/>
      <c r="L509" s="2563"/>
      <c r="M509" s="2563"/>
      <c r="N509" s="2563"/>
      <c r="O509" s="2563"/>
      <c r="P509" s="2563"/>
      <c r="Q509" s="2563"/>
      <c r="R509" s="2563"/>
      <c r="S509" s="2563"/>
      <c r="T509" s="2563"/>
      <c r="U509" s="2563"/>
      <c r="V509" s="2563"/>
      <c r="W509" s="2563"/>
      <c r="X509" s="2563"/>
      <c r="Y509" s="2563"/>
      <c r="Z509" s="2563"/>
      <c r="AA509" s="2563"/>
      <c r="AB509" s="2563"/>
      <c r="AC509" s="2563"/>
      <c r="AD509" s="2563"/>
      <c r="AE509" s="2563"/>
      <c r="AF509" s="162"/>
      <c r="AG509" s="27"/>
      <c r="AH509" s="27"/>
      <c r="AI509" s="27"/>
      <c r="AJ509" s="27"/>
      <c r="AK509" s="1195"/>
      <c r="AL509" s="162"/>
      <c r="AM509" s="46"/>
      <c r="AN509" s="1135"/>
      <c r="AO509" s="132"/>
      <c r="AP509" s="2319" t="s">
        <v>1680</v>
      </c>
      <c r="AQ509" s="2320"/>
      <c r="AR509" s="2321"/>
      <c r="AS509" s="977">
        <v>80</v>
      </c>
      <c r="AT509" s="46">
        <v>0</v>
      </c>
      <c r="AU509" s="243">
        <v>10</v>
      </c>
      <c r="AV509" s="243">
        <v>25</v>
      </c>
      <c r="AW509" s="243">
        <v>37.5</v>
      </c>
      <c r="AX509" s="243">
        <v>35</v>
      </c>
      <c r="AY509" s="243">
        <v>37.5</v>
      </c>
      <c r="AZ509" s="243">
        <v>50</v>
      </c>
      <c r="BA509" s="243">
        <v>50</v>
      </c>
      <c r="BB509" s="65"/>
      <c r="BC509" s="65"/>
      <c r="BE509" s="2319" t="s">
        <v>1680</v>
      </c>
      <c r="BF509" s="2320"/>
      <c r="BG509" s="2321"/>
      <c r="BH509" s="977">
        <v>80</v>
      </c>
      <c r="BI509" s="46">
        <v>0</v>
      </c>
      <c r="BJ509" s="244">
        <v>0</v>
      </c>
      <c r="BK509" s="243">
        <v>25</v>
      </c>
      <c r="BL509" s="243">
        <v>37.5</v>
      </c>
      <c r="BM509" s="243">
        <v>35</v>
      </c>
      <c r="BN509" s="243">
        <v>37.5</v>
      </c>
      <c r="BO509" s="243">
        <v>50</v>
      </c>
      <c r="BP509" s="243">
        <v>50</v>
      </c>
      <c r="BQ509" s="65"/>
      <c r="BR509" s="46"/>
      <c r="CD509" s="65"/>
      <c r="CE509" s="65"/>
      <c r="CF509" s="65"/>
      <c r="CG509" s="65"/>
      <c r="CH509" s="65"/>
      <c r="CI509" s="65"/>
      <c r="CJ509" s="65"/>
      <c r="CK509" s="65"/>
      <c r="CL509" s="65"/>
      <c r="CM509" s="65"/>
      <c r="CN509" s="65"/>
      <c r="CO509" s="65"/>
      <c r="CP509" s="65"/>
      <c r="CQ509" s="65"/>
      <c r="CR509" s="65"/>
      <c r="CS509" s="65"/>
      <c r="CT509" s="65"/>
      <c r="CU509" s="65"/>
      <c r="CV509" s="65"/>
      <c r="CW509" s="65"/>
      <c r="CX509" s="65"/>
      <c r="CY509" s="65"/>
      <c r="CZ509" s="65"/>
      <c r="DA509" s="65"/>
      <c r="DB509" s="65"/>
      <c r="DC509" s="65"/>
      <c r="DD509" s="65"/>
      <c r="DE509" s="65"/>
      <c r="DF509" s="65"/>
      <c r="DG509" s="65"/>
      <c r="DH509" s="65"/>
      <c r="DI509" s="65"/>
      <c r="DJ509" s="65"/>
      <c r="DK509" s="65"/>
      <c r="DL509" s="65"/>
      <c r="DM509" s="65"/>
      <c r="DN509" s="65"/>
      <c r="DO509" s="65"/>
      <c r="DP509" s="65"/>
      <c r="DQ509" s="65"/>
      <c r="DR509" s="65"/>
    </row>
    <row r="510" spans="1:147" s="16" customFormat="1" ht="12.75" hidden="1" customHeight="1">
      <c r="A510" s="195"/>
      <c r="B510" s="46"/>
      <c r="C510" s="1224"/>
      <c r="D510" s="1205"/>
      <c r="E510" s="1225"/>
      <c r="F510" s="2577" t="s">
        <v>136</v>
      </c>
      <c r="G510" s="2577"/>
      <c r="H510" s="2577"/>
      <c r="I510" s="2577"/>
      <c r="J510" s="2577"/>
      <c r="K510" s="2577"/>
      <c r="L510" s="2577"/>
      <c r="M510" s="2577"/>
      <c r="N510" s="2577"/>
      <c r="O510" s="2577"/>
      <c r="P510" s="2577"/>
      <c r="Q510" s="2577"/>
      <c r="R510" s="2577"/>
      <c r="S510" s="2577"/>
      <c r="T510" s="2577"/>
      <c r="U510" s="2577"/>
      <c r="V510" s="2577"/>
      <c r="W510" s="2577"/>
      <c r="X510" s="2577"/>
      <c r="Y510" s="2577"/>
      <c r="Z510" s="2577"/>
      <c r="AA510" s="1226"/>
      <c r="AB510" s="1227"/>
      <c r="AC510" s="1227"/>
      <c r="AD510" s="1205"/>
      <c r="AE510" s="1205"/>
      <c r="AF510" s="1205"/>
      <c r="AG510" s="1228">
        <f>IF($C$508="Yes",(VLOOKUP($F$510,$AO$478:$AP$486,2,FALSE)),0)</f>
        <v>0</v>
      </c>
      <c r="AH510" s="1229" t="s">
        <v>1078</v>
      </c>
      <c r="AI510" s="1228"/>
      <c r="AJ510" s="1227"/>
      <c r="AK510" s="1206"/>
      <c r="AL510" s="162"/>
      <c r="AM510" s="46"/>
      <c r="AN510" s="1135"/>
      <c r="AO510" s="132"/>
      <c r="AP510" s="2322"/>
      <c r="AQ510" s="2323"/>
      <c r="AR510" s="2324"/>
      <c r="AS510" s="977">
        <v>75</v>
      </c>
      <c r="AT510" s="46">
        <v>0</v>
      </c>
      <c r="AU510" s="243">
        <v>10</v>
      </c>
      <c r="AV510" s="243">
        <v>25</v>
      </c>
      <c r="AW510" s="243">
        <v>37.5</v>
      </c>
      <c r="AX510" s="243">
        <v>35</v>
      </c>
      <c r="AY510" s="243">
        <v>37.5</v>
      </c>
      <c r="AZ510" s="243">
        <v>50</v>
      </c>
      <c r="BA510" s="243">
        <v>50</v>
      </c>
      <c r="BB510" s="65"/>
      <c r="BC510" s="65"/>
      <c r="BE510" s="2322"/>
      <c r="BF510" s="2323"/>
      <c r="BG510" s="2324"/>
      <c r="BH510" s="977">
        <v>75</v>
      </c>
      <c r="BI510" s="46">
        <v>0</v>
      </c>
      <c r="BJ510" s="244">
        <v>0</v>
      </c>
      <c r="BK510" s="243">
        <v>25</v>
      </c>
      <c r="BL510" s="243">
        <v>37.5</v>
      </c>
      <c r="BM510" s="243">
        <v>35</v>
      </c>
      <c r="BN510" s="243">
        <v>37.5</v>
      </c>
      <c r="BO510" s="243">
        <v>50</v>
      </c>
      <c r="BP510" s="243">
        <v>50</v>
      </c>
      <c r="BQ510" s="65"/>
      <c r="BR510" s="46"/>
      <c r="CD510" s="65"/>
      <c r="CE510" s="65"/>
      <c r="CF510" s="65"/>
      <c r="CG510" s="65"/>
      <c r="CH510" s="65"/>
      <c r="CI510" s="65"/>
      <c r="CJ510" s="65"/>
      <c r="CK510" s="65"/>
      <c r="CL510" s="65"/>
      <c r="CM510" s="65"/>
      <c r="CN510" s="65"/>
      <c r="CO510" s="65"/>
      <c r="CP510" s="65"/>
      <c r="CQ510" s="65"/>
      <c r="CR510" s="65"/>
      <c r="CS510" s="65"/>
      <c r="CT510" s="65"/>
      <c r="CU510" s="65"/>
      <c r="CV510" s="65"/>
      <c r="CW510" s="65"/>
      <c r="CX510" s="65"/>
      <c r="CY510" s="65"/>
      <c r="CZ510" s="65"/>
      <c r="DA510" s="65"/>
      <c r="DB510" s="65"/>
      <c r="DC510" s="65"/>
      <c r="DD510" s="65"/>
      <c r="DE510" s="65"/>
      <c r="DF510" s="65"/>
      <c r="DG510" s="65"/>
      <c r="DH510" s="65"/>
      <c r="DI510" s="65"/>
      <c r="DJ510" s="65"/>
      <c r="DK510" s="65"/>
      <c r="DL510" s="65"/>
      <c r="DM510" s="65"/>
      <c r="DN510" s="65"/>
      <c r="DO510" s="65"/>
      <c r="DP510" s="65"/>
      <c r="DQ510" s="65"/>
      <c r="DR510" s="65"/>
    </row>
    <row r="511" spans="1:147" s="16" customFormat="1" ht="12.75" hidden="1" customHeight="1">
      <c r="A511" s="195"/>
      <c r="B511" s="46"/>
      <c r="C511" s="551"/>
      <c r="D511" s="153"/>
      <c r="E511" s="225"/>
      <c r="F511" s="27"/>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162"/>
      <c r="AE511" s="162"/>
      <c r="AF511" s="162"/>
      <c r="AG511" s="27"/>
      <c r="AH511" s="27"/>
      <c r="AI511" s="27"/>
      <c r="AJ511" s="27"/>
      <c r="AK511" s="162"/>
      <c r="AL511" s="162"/>
      <c r="AM511" s="46"/>
      <c r="AN511" s="1135"/>
      <c r="AO511" s="132"/>
      <c r="AP511" s="2322"/>
      <c r="AQ511" s="2323"/>
      <c r="AR511" s="2324"/>
      <c r="AS511" s="977">
        <v>70</v>
      </c>
      <c r="AT511" s="46">
        <v>0</v>
      </c>
      <c r="AU511" s="243">
        <v>10</v>
      </c>
      <c r="AV511" s="243">
        <v>25</v>
      </c>
      <c r="AW511" s="243">
        <v>37.5</v>
      </c>
      <c r="AX511" s="243">
        <v>35</v>
      </c>
      <c r="AY511" s="243">
        <v>37.5</v>
      </c>
      <c r="AZ511" s="243">
        <v>50</v>
      </c>
      <c r="BA511" s="243">
        <v>50</v>
      </c>
      <c r="BB511" s="65"/>
      <c r="BC511" s="65"/>
      <c r="BE511" s="2322"/>
      <c r="BF511" s="2323"/>
      <c r="BG511" s="2324"/>
      <c r="BH511" s="977">
        <v>70</v>
      </c>
      <c r="BI511" s="46">
        <v>0</v>
      </c>
      <c r="BJ511" s="244">
        <v>0</v>
      </c>
      <c r="BK511" s="243">
        <v>25</v>
      </c>
      <c r="BL511" s="243">
        <v>37.5</v>
      </c>
      <c r="BM511" s="243">
        <v>35</v>
      </c>
      <c r="BN511" s="243">
        <v>37.5</v>
      </c>
      <c r="BO511" s="243">
        <v>50</v>
      </c>
      <c r="BP511" s="243">
        <v>50</v>
      </c>
      <c r="BQ511" s="65"/>
      <c r="BR511" s="46"/>
      <c r="CD511" s="65"/>
      <c r="CE511" s="65"/>
      <c r="CF511" s="65"/>
      <c r="CG511" s="65"/>
      <c r="CH511" s="65"/>
      <c r="CI511" s="65"/>
      <c r="CJ511" s="65"/>
      <c r="CK511" s="65"/>
      <c r="CL511" s="65"/>
      <c r="CM511" s="65"/>
      <c r="CN511" s="65"/>
      <c r="CO511" s="65"/>
      <c r="CP511" s="65"/>
      <c r="CQ511" s="65"/>
      <c r="CR511" s="65"/>
      <c r="CS511" s="65"/>
      <c r="CT511" s="65"/>
      <c r="CU511" s="65"/>
      <c r="CV511" s="65"/>
      <c r="CW511" s="65"/>
      <c r="CX511" s="65"/>
      <c r="CY511" s="65"/>
      <c r="CZ511" s="65"/>
      <c r="DA511" s="65"/>
      <c r="DB511" s="65"/>
      <c r="DC511" s="65"/>
      <c r="DD511" s="65"/>
      <c r="DE511" s="65"/>
      <c r="DF511" s="65"/>
      <c r="DG511" s="65"/>
      <c r="DH511" s="65"/>
      <c r="DI511" s="65"/>
      <c r="DJ511" s="65"/>
      <c r="DK511" s="65"/>
      <c r="DL511" s="65"/>
      <c r="DM511" s="65"/>
      <c r="DN511" s="65"/>
      <c r="DO511" s="65"/>
      <c r="DP511" s="65"/>
      <c r="DQ511" s="65"/>
      <c r="DR511" s="65"/>
    </row>
    <row r="512" spans="1:147" s="16" customFormat="1" ht="12.75" hidden="1" customHeight="1">
      <c r="A512" s="28"/>
      <c r="B512" s="46"/>
      <c r="C512" s="2334" t="s">
        <v>136</v>
      </c>
      <c r="D512" s="2335"/>
      <c r="E512" s="1241" t="s">
        <v>336</v>
      </c>
      <c r="F512" s="2572" t="s">
        <v>1285</v>
      </c>
      <c r="G512" s="2572"/>
      <c r="H512" s="2572"/>
      <c r="I512" s="2572"/>
      <c r="J512" s="2572"/>
      <c r="K512" s="2572"/>
      <c r="L512" s="2572"/>
      <c r="M512" s="2572"/>
      <c r="N512" s="2572"/>
      <c r="O512" s="2572"/>
      <c r="P512" s="2572"/>
      <c r="Q512" s="2572"/>
      <c r="R512" s="2572"/>
      <c r="S512" s="2572"/>
      <c r="T512" s="2572"/>
      <c r="U512" s="2572"/>
      <c r="V512" s="2572"/>
      <c r="W512" s="2572"/>
      <c r="X512" s="2572"/>
      <c r="Y512" s="2572"/>
      <c r="Z512" s="2572"/>
      <c r="AA512" s="2572"/>
      <c r="AB512" s="2572"/>
      <c r="AC512" s="2572"/>
      <c r="AD512" s="2572"/>
      <c r="AE512" s="2572"/>
      <c r="AF512" s="1187"/>
      <c r="AG512" s="1231"/>
      <c r="AH512" s="1231"/>
      <c r="AI512" s="1231"/>
      <c r="AJ512" s="1231"/>
      <c r="AK512" s="1215"/>
      <c r="AL512" s="162"/>
      <c r="AM512" s="46"/>
      <c r="AN512" s="1135"/>
      <c r="AO512" s="132"/>
      <c r="AP512" s="2322"/>
      <c r="AQ512" s="2323"/>
      <c r="AR512" s="2324"/>
      <c r="AS512" s="977">
        <v>65</v>
      </c>
      <c r="AT512" s="46">
        <v>0</v>
      </c>
      <c r="AU512" s="243">
        <v>10</v>
      </c>
      <c r="AV512" s="243">
        <v>25</v>
      </c>
      <c r="AW512" s="243">
        <v>37.5</v>
      </c>
      <c r="AX512" s="243">
        <v>35</v>
      </c>
      <c r="AY512" s="243">
        <v>37.5</v>
      </c>
      <c r="AZ512" s="243">
        <v>50</v>
      </c>
      <c r="BA512" s="243">
        <v>50</v>
      </c>
      <c r="BB512" s="65"/>
      <c r="BC512" s="65"/>
      <c r="BE512" s="2322"/>
      <c r="BF512" s="2323"/>
      <c r="BG512" s="2324"/>
      <c r="BH512" s="977">
        <v>65</v>
      </c>
      <c r="BI512" s="46">
        <v>0</v>
      </c>
      <c r="BJ512" s="244">
        <v>0</v>
      </c>
      <c r="BK512" s="243">
        <v>25</v>
      </c>
      <c r="BL512" s="243">
        <v>37.5</v>
      </c>
      <c r="BM512" s="243">
        <v>35</v>
      </c>
      <c r="BN512" s="243">
        <v>37.5</v>
      </c>
      <c r="BO512" s="243">
        <v>50</v>
      </c>
      <c r="BP512" s="243">
        <v>50</v>
      </c>
      <c r="BQ512" s="65"/>
      <c r="BR512" s="46"/>
      <c r="CD512" s="65"/>
      <c r="CE512" s="65"/>
      <c r="CF512" s="65"/>
      <c r="CG512" s="65"/>
      <c r="CH512" s="65"/>
      <c r="CI512" s="65"/>
      <c r="CJ512" s="65"/>
      <c r="CK512" s="65"/>
      <c r="CL512" s="65"/>
      <c r="CM512" s="65"/>
      <c r="CN512" s="65"/>
      <c r="CO512" s="65"/>
      <c r="CP512" s="65"/>
      <c r="CQ512" s="65"/>
      <c r="CR512" s="65"/>
      <c r="CS512" s="65"/>
      <c r="CT512" s="65"/>
      <c r="CU512" s="65"/>
      <c r="CV512" s="65"/>
      <c r="CW512" s="65"/>
      <c r="CX512" s="65"/>
      <c r="CY512" s="65"/>
      <c r="CZ512" s="65"/>
      <c r="DA512" s="65"/>
      <c r="DB512" s="65"/>
      <c r="DC512" s="65"/>
      <c r="DD512" s="65"/>
      <c r="DE512" s="65"/>
      <c r="DF512" s="65"/>
      <c r="DG512" s="65"/>
      <c r="DH512" s="65"/>
      <c r="DI512" s="65"/>
      <c r="DJ512" s="65"/>
      <c r="DK512" s="65"/>
      <c r="DL512" s="65"/>
      <c r="DM512" s="65"/>
      <c r="DN512" s="65"/>
      <c r="DO512" s="65"/>
      <c r="DP512" s="65"/>
      <c r="DQ512" s="65"/>
      <c r="DR512" s="65"/>
    </row>
    <row r="513" spans="1:122" s="16" customFormat="1" ht="12.75" hidden="1" customHeight="1">
      <c r="A513" s="28"/>
      <c r="B513" s="46"/>
      <c r="C513" s="1223"/>
      <c r="D513" s="162"/>
      <c r="E513" s="225"/>
      <c r="F513" s="2573"/>
      <c r="G513" s="2573"/>
      <c r="H513" s="2573"/>
      <c r="I513" s="2573"/>
      <c r="J513" s="2573"/>
      <c r="K513" s="2573"/>
      <c r="L513" s="2573"/>
      <c r="M513" s="2573"/>
      <c r="N513" s="2573"/>
      <c r="O513" s="2573"/>
      <c r="P513" s="2573"/>
      <c r="Q513" s="2573"/>
      <c r="R513" s="2573"/>
      <c r="S513" s="2573"/>
      <c r="T513" s="2573"/>
      <c r="U513" s="2573"/>
      <c r="V513" s="2573"/>
      <c r="W513" s="2573"/>
      <c r="X513" s="2573"/>
      <c r="Y513" s="2573"/>
      <c r="Z513" s="2573"/>
      <c r="AA513" s="2573"/>
      <c r="AB513" s="2573"/>
      <c r="AC513" s="2573"/>
      <c r="AD513" s="2573"/>
      <c r="AE513" s="2573"/>
      <c r="AF513" s="162"/>
      <c r="AG513" s="27"/>
      <c r="AH513" s="27"/>
      <c r="AI513" s="27"/>
      <c r="AJ513" s="27"/>
      <c r="AK513" s="1195"/>
      <c r="AL513" s="162"/>
      <c r="AM513" s="46"/>
      <c r="AN513" s="1135"/>
      <c r="AO513" s="132"/>
      <c r="AP513" s="2322"/>
      <c r="AQ513" s="2323"/>
      <c r="AR513" s="2324"/>
      <c r="AS513" s="977">
        <v>60</v>
      </c>
      <c r="AT513" s="46">
        <v>0</v>
      </c>
      <c r="AU513" s="243">
        <v>10</v>
      </c>
      <c r="AV513" s="243">
        <v>25</v>
      </c>
      <c r="AW513" s="243">
        <v>37.5</v>
      </c>
      <c r="AX513" s="243">
        <v>35</v>
      </c>
      <c r="AY513" s="243">
        <v>37.5</v>
      </c>
      <c r="AZ513" s="243">
        <v>50</v>
      </c>
      <c r="BA513" s="243">
        <v>50</v>
      </c>
      <c r="BB513" s="65"/>
      <c r="BC513" s="65"/>
      <c r="BE513" s="2322"/>
      <c r="BF513" s="2323"/>
      <c r="BG513" s="2324"/>
      <c r="BH513" s="977">
        <v>60</v>
      </c>
      <c r="BI513" s="46">
        <v>0</v>
      </c>
      <c r="BJ513" s="244">
        <v>0</v>
      </c>
      <c r="BK513" s="243">
        <v>25</v>
      </c>
      <c r="BL513" s="243">
        <v>37.5</v>
      </c>
      <c r="BM513" s="243">
        <v>35</v>
      </c>
      <c r="BN513" s="243">
        <v>37.5</v>
      </c>
      <c r="BO513" s="243">
        <v>50</v>
      </c>
      <c r="BP513" s="243">
        <v>50</v>
      </c>
      <c r="BQ513" s="65"/>
      <c r="BR513" s="46"/>
      <c r="CD513" s="65"/>
      <c r="CE513" s="65"/>
      <c r="CF513" s="65"/>
      <c r="CG513" s="65"/>
      <c r="CH513" s="65"/>
      <c r="CI513" s="65"/>
      <c r="CJ513" s="65"/>
      <c r="CK513" s="65"/>
      <c r="CL513" s="65"/>
      <c r="CM513" s="65"/>
      <c r="CN513" s="65"/>
      <c r="CO513" s="65"/>
      <c r="CP513" s="65"/>
      <c r="CQ513" s="65"/>
      <c r="CR513" s="65"/>
      <c r="CS513" s="65"/>
      <c r="CT513" s="65"/>
      <c r="CU513" s="65"/>
      <c r="CV513" s="65"/>
      <c r="CW513" s="65"/>
      <c r="CX513" s="65"/>
      <c r="CY513" s="65"/>
      <c r="CZ513" s="65"/>
      <c r="DA513" s="65"/>
      <c r="DB513" s="65"/>
      <c r="DC513" s="65"/>
      <c r="DD513" s="65"/>
      <c r="DE513" s="65"/>
      <c r="DF513" s="65"/>
      <c r="DG513" s="65"/>
      <c r="DH513" s="65"/>
      <c r="DI513" s="65"/>
      <c r="DJ513" s="65"/>
      <c r="DK513" s="65"/>
      <c r="DL513" s="65"/>
      <c r="DM513" s="65"/>
      <c r="DN513" s="65"/>
      <c r="DO513" s="65"/>
      <c r="DP513" s="65"/>
      <c r="DQ513" s="65"/>
      <c r="DR513" s="65"/>
    </row>
    <row r="514" spans="1:122" s="16" customFormat="1" ht="12.75" hidden="1" customHeight="1">
      <c r="A514" s="28"/>
      <c r="B514" s="46"/>
      <c r="C514" s="1198"/>
      <c r="D514" s="162"/>
      <c r="E514" s="162"/>
      <c r="F514" s="896" t="s">
        <v>1082</v>
      </c>
      <c r="G514" s="27"/>
      <c r="H514" s="27"/>
      <c r="I514" s="27"/>
      <c r="J514" s="27"/>
      <c r="K514" s="27"/>
      <c r="L514" s="27"/>
      <c r="M514" s="27"/>
      <c r="N514" s="27"/>
      <c r="O514" s="27"/>
      <c r="P514" s="27"/>
      <c r="Q514" s="27"/>
      <c r="R514" s="27"/>
      <c r="S514" s="27"/>
      <c r="T514" s="27"/>
      <c r="U514" s="27"/>
      <c r="V514" s="27"/>
      <c r="W514" s="27"/>
      <c r="X514" s="27"/>
      <c r="Y514" s="27"/>
      <c r="Z514" s="27"/>
      <c r="AA514" s="27"/>
      <c r="AB514" s="27"/>
      <c r="AC514" s="1158"/>
      <c r="AD514" s="162"/>
      <c r="AE514" s="162"/>
      <c r="AF514" s="162"/>
      <c r="AG514" s="175"/>
      <c r="AH514" s="175"/>
      <c r="AI514" s="175"/>
      <c r="AJ514" s="175"/>
      <c r="AK514" s="1195"/>
      <c r="AL514" s="162"/>
      <c r="AM514" s="46"/>
      <c r="AN514" s="1135"/>
      <c r="AP514" s="2322"/>
      <c r="AQ514" s="2323"/>
      <c r="AR514" s="2324"/>
      <c r="AS514" s="977">
        <v>55</v>
      </c>
      <c r="AT514" s="46">
        <v>0</v>
      </c>
      <c r="AU514" s="243">
        <v>10</v>
      </c>
      <c r="AV514" s="243">
        <v>25</v>
      </c>
      <c r="AW514" s="243">
        <v>37.5</v>
      </c>
      <c r="AX514" s="243">
        <v>35</v>
      </c>
      <c r="AY514" s="243">
        <v>37.5</v>
      </c>
      <c r="AZ514" s="243">
        <v>50</v>
      </c>
      <c r="BA514" s="243">
        <v>50</v>
      </c>
      <c r="BE514" s="2322"/>
      <c r="BF514" s="2323"/>
      <c r="BG514" s="2324"/>
      <c r="BH514" s="977">
        <v>55</v>
      </c>
      <c r="BI514" s="46">
        <v>0</v>
      </c>
      <c r="BJ514" s="244">
        <v>0</v>
      </c>
      <c r="BK514" s="243">
        <v>25</v>
      </c>
      <c r="BL514" s="243">
        <v>37.5</v>
      </c>
      <c r="BM514" s="243">
        <v>35</v>
      </c>
      <c r="BN514" s="243">
        <v>37.5</v>
      </c>
      <c r="BO514" s="243">
        <v>50</v>
      </c>
      <c r="BP514" s="243">
        <v>50</v>
      </c>
      <c r="BR514" s="46"/>
      <c r="CR514" s="65"/>
      <c r="CS514" s="65"/>
      <c r="CT514" s="65"/>
      <c r="CU514" s="65"/>
      <c r="CV514" s="65"/>
      <c r="CW514" s="65"/>
      <c r="CX514" s="65"/>
      <c r="CY514" s="65"/>
      <c r="CZ514" s="65"/>
      <c r="DA514" s="65"/>
      <c r="DB514" s="65"/>
      <c r="DC514" s="65"/>
      <c r="DD514" s="65"/>
      <c r="DE514" s="65"/>
      <c r="DF514" s="65"/>
      <c r="DG514" s="65"/>
      <c r="DH514" s="65"/>
      <c r="DI514" s="65"/>
      <c r="DJ514" s="65"/>
      <c r="DK514" s="65"/>
      <c r="DL514" s="65"/>
      <c r="DM514" s="65"/>
      <c r="DN514" s="65"/>
      <c r="DO514" s="65"/>
      <c r="DP514" s="65"/>
      <c r="DQ514" s="65"/>
      <c r="DR514" s="65"/>
    </row>
    <row r="515" spans="1:122" s="16" customFormat="1" hidden="1">
      <c r="A515" s="28"/>
      <c r="B515" s="46"/>
      <c r="C515" s="1224"/>
      <c r="D515" s="1205"/>
      <c r="E515" s="1225"/>
      <c r="F515" s="2578" t="s">
        <v>136</v>
      </c>
      <c r="G515" s="2578"/>
      <c r="H515" s="2578"/>
      <c r="I515" s="1227"/>
      <c r="J515" s="1227"/>
      <c r="K515" s="1227"/>
      <c r="L515" s="1227"/>
      <c r="M515" s="1227"/>
      <c r="N515" s="1227"/>
      <c r="O515" s="1227"/>
      <c r="P515" s="1227"/>
      <c r="Q515" s="1227"/>
      <c r="R515" s="1227"/>
      <c r="S515" s="1227"/>
      <c r="T515" s="1227"/>
      <c r="U515" s="1227"/>
      <c r="V515" s="1227"/>
      <c r="W515" s="1227"/>
      <c r="X515" s="1227"/>
      <c r="Y515" s="1227"/>
      <c r="Z515" s="1227"/>
      <c r="AA515" s="1227"/>
      <c r="AB515" s="1227"/>
      <c r="AC515" s="1227"/>
      <c r="AD515" s="1205"/>
      <c r="AE515" s="1205"/>
      <c r="AF515" s="1205"/>
      <c r="AG515" s="1228">
        <f>IF($C$512="Yes",(VLOOKUP($F$515,$AO$488:$AP$490,2,FALSE)),0)</f>
        <v>0</v>
      </c>
      <c r="AH515" s="1229" t="s">
        <v>1078</v>
      </c>
      <c r="AI515" s="1227"/>
      <c r="AJ515" s="1227"/>
      <c r="AK515" s="1206"/>
      <c r="AL515" s="162"/>
      <c r="AM515" s="46"/>
      <c r="AN515" s="1135"/>
      <c r="AP515" s="2322"/>
      <c r="AQ515" s="2323"/>
      <c r="AR515" s="2324"/>
      <c r="AS515" s="242">
        <v>50</v>
      </c>
      <c r="AT515" s="46">
        <v>0</v>
      </c>
      <c r="AU515" s="243">
        <v>10</v>
      </c>
      <c r="AV515" s="243">
        <v>25</v>
      </c>
      <c r="AW515" s="243">
        <v>37.5</v>
      </c>
      <c r="AX515" s="243">
        <v>35</v>
      </c>
      <c r="AY515" s="243">
        <v>37.5</v>
      </c>
      <c r="AZ515" s="243">
        <v>50</v>
      </c>
      <c r="BA515" s="243">
        <v>50</v>
      </c>
      <c r="BE515" s="2322"/>
      <c r="BF515" s="2323"/>
      <c r="BG515" s="2324"/>
      <c r="BH515" s="242">
        <v>50</v>
      </c>
      <c r="BI515" s="46">
        <v>0</v>
      </c>
      <c r="BJ515" s="244">
        <v>0</v>
      </c>
      <c r="BK515" s="243">
        <v>25</v>
      </c>
      <c r="BL515" s="243">
        <v>37.5</v>
      </c>
      <c r="BM515" s="243">
        <v>35</v>
      </c>
      <c r="BN515" s="243">
        <v>37.5</v>
      </c>
      <c r="BO515" s="243">
        <v>50</v>
      </c>
      <c r="BP515" s="243">
        <v>50</v>
      </c>
      <c r="BR515" s="46"/>
      <c r="CR515" s="65"/>
      <c r="CS515" s="65"/>
      <c r="CT515" s="65"/>
      <c r="CU515" s="65"/>
      <c r="CV515" s="65"/>
      <c r="CW515" s="65"/>
      <c r="CX515" s="65"/>
      <c r="CY515" s="65"/>
      <c r="CZ515" s="65"/>
      <c r="DA515" s="65"/>
      <c r="DB515" s="65"/>
      <c r="DC515" s="65"/>
      <c r="DD515" s="65"/>
      <c r="DE515" s="65"/>
      <c r="DF515" s="65"/>
      <c r="DG515" s="65"/>
      <c r="DH515" s="65"/>
      <c r="DI515" s="65"/>
      <c r="DJ515" s="65"/>
      <c r="DK515" s="65"/>
      <c r="DL515" s="65"/>
      <c r="DM515" s="65"/>
      <c r="DN515" s="65"/>
      <c r="DO515" s="65"/>
      <c r="DP515" s="65"/>
      <c r="DQ515" s="65"/>
      <c r="DR515" s="65"/>
    </row>
    <row r="516" spans="1:122" s="16" customFormat="1" hidden="1">
      <c r="A516" s="27"/>
      <c r="B516" s="27"/>
      <c r="C516" s="27"/>
      <c r="D516" s="27"/>
      <c r="E516" s="27"/>
      <c r="F516" s="27"/>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162"/>
      <c r="AF516" s="162"/>
      <c r="AG516" s="175"/>
      <c r="AH516" s="1161"/>
      <c r="AI516" s="27"/>
      <c r="AJ516" s="27"/>
      <c r="AK516" s="162"/>
      <c r="AL516" s="162"/>
      <c r="AM516" s="46"/>
      <c r="AN516" s="1135"/>
      <c r="AP516" s="2322"/>
      <c r="AQ516" s="2323"/>
      <c r="AR516" s="2324"/>
      <c r="AS516" s="242">
        <v>45</v>
      </c>
      <c r="AT516" s="46">
        <v>0</v>
      </c>
      <c r="AU516" s="243">
        <v>10</v>
      </c>
      <c r="AV516" s="243">
        <v>22.5</v>
      </c>
      <c r="AW516" s="243">
        <v>33.799999999999997</v>
      </c>
      <c r="AX516" s="243">
        <v>35</v>
      </c>
      <c r="AY516" s="243">
        <v>37.5</v>
      </c>
      <c r="AZ516" s="243">
        <v>50</v>
      </c>
      <c r="BA516" s="243">
        <v>50</v>
      </c>
      <c r="BE516" s="2322"/>
      <c r="BF516" s="2323"/>
      <c r="BG516" s="2324"/>
      <c r="BH516" s="242">
        <v>45</v>
      </c>
      <c r="BI516" s="46">
        <v>0</v>
      </c>
      <c r="BJ516" s="244">
        <v>0</v>
      </c>
      <c r="BK516" s="243">
        <v>22.5</v>
      </c>
      <c r="BL516" s="243">
        <v>33.799999999999997</v>
      </c>
      <c r="BM516" s="243">
        <v>35</v>
      </c>
      <c r="BN516" s="243">
        <v>37.5</v>
      </c>
      <c r="BO516" s="243">
        <v>50</v>
      </c>
      <c r="BP516" s="243">
        <v>50</v>
      </c>
      <c r="BR516" s="46"/>
      <c r="CR516" s="65"/>
      <c r="CS516" s="65"/>
      <c r="CT516" s="65"/>
      <c r="CU516" s="65"/>
      <c r="CV516" s="65"/>
      <c r="CW516" s="65"/>
      <c r="CX516" s="65"/>
      <c r="CY516" s="65"/>
      <c r="CZ516" s="65"/>
      <c r="DA516" s="65"/>
      <c r="DB516" s="65"/>
      <c r="DC516" s="65"/>
      <c r="DD516" s="65"/>
      <c r="DE516" s="65"/>
      <c r="DF516" s="65"/>
      <c r="DG516" s="65"/>
      <c r="DH516" s="65"/>
      <c r="DI516" s="65"/>
      <c r="DJ516" s="65"/>
      <c r="DK516" s="65"/>
      <c r="DL516" s="65"/>
      <c r="DM516" s="65"/>
      <c r="DN516" s="65"/>
      <c r="DO516" s="65"/>
      <c r="DP516" s="65"/>
      <c r="DQ516" s="65"/>
      <c r="DR516" s="65"/>
    </row>
    <row r="517" spans="1:122" s="16" customFormat="1" hidden="1">
      <c r="A517" s="28"/>
      <c r="B517" s="46"/>
      <c r="C517" s="2334" t="s">
        <v>136</v>
      </c>
      <c r="D517" s="2335"/>
      <c r="E517" s="1241" t="s">
        <v>1395</v>
      </c>
      <c r="F517" s="1240" t="s">
        <v>1083</v>
      </c>
      <c r="G517" s="1231"/>
      <c r="H517" s="1231"/>
      <c r="I517" s="1231"/>
      <c r="J517" s="1231"/>
      <c r="K517" s="1231"/>
      <c r="L517" s="1231"/>
      <c r="M517" s="1231"/>
      <c r="N517" s="1231"/>
      <c r="O517" s="1231"/>
      <c r="P517" s="1231"/>
      <c r="Q517" s="1231"/>
      <c r="R517" s="1231"/>
      <c r="S517" s="1231"/>
      <c r="T517" s="1231"/>
      <c r="U517" s="1231"/>
      <c r="V517" s="1231"/>
      <c r="W517" s="1231"/>
      <c r="X517" s="1231"/>
      <c r="Y517" s="1231"/>
      <c r="Z517" s="1231"/>
      <c r="AA517" s="1231"/>
      <c r="AB517" s="1231"/>
      <c r="AC517" s="1244"/>
      <c r="AD517" s="1187"/>
      <c r="AE517" s="1187"/>
      <c r="AF517" s="1187"/>
      <c r="AG517" s="1245"/>
      <c r="AH517" s="1245"/>
      <c r="AI517" s="1245"/>
      <c r="AJ517" s="1245"/>
      <c r="AK517" s="1215"/>
      <c r="AL517" s="162"/>
      <c r="AM517" s="46"/>
      <c r="AN517" s="1135"/>
      <c r="AP517" s="2322"/>
      <c r="AQ517" s="2323"/>
      <c r="AR517" s="2324"/>
      <c r="AS517" s="242">
        <v>40</v>
      </c>
      <c r="AT517" s="46">
        <v>0</v>
      </c>
      <c r="AU517" s="243">
        <v>10</v>
      </c>
      <c r="AV517" s="243">
        <v>20</v>
      </c>
      <c r="AW517" s="243">
        <v>30</v>
      </c>
      <c r="AX517" s="243">
        <v>35</v>
      </c>
      <c r="AY517" s="243">
        <v>37.5</v>
      </c>
      <c r="AZ517" s="243">
        <v>50</v>
      </c>
      <c r="BA517" s="243">
        <v>50</v>
      </c>
      <c r="BE517" s="2322"/>
      <c r="BF517" s="2323"/>
      <c r="BG517" s="2324"/>
      <c r="BH517" s="242">
        <v>40</v>
      </c>
      <c r="BI517" s="46">
        <v>0</v>
      </c>
      <c r="BJ517" s="244">
        <v>0</v>
      </c>
      <c r="BK517" s="243">
        <v>20</v>
      </c>
      <c r="BL517" s="243">
        <v>30</v>
      </c>
      <c r="BM517" s="243">
        <v>35</v>
      </c>
      <c r="BN517" s="243">
        <v>37.5</v>
      </c>
      <c r="BO517" s="243">
        <v>50</v>
      </c>
      <c r="BP517" s="243">
        <v>50</v>
      </c>
      <c r="BR517" s="46"/>
      <c r="CR517" s="65"/>
      <c r="CS517" s="65"/>
      <c r="CT517" s="65"/>
      <c r="CU517" s="65"/>
      <c r="CV517" s="65"/>
      <c r="CW517" s="65"/>
      <c r="CX517" s="65"/>
      <c r="CY517" s="65"/>
      <c r="CZ517" s="65"/>
      <c r="DA517" s="65"/>
      <c r="DB517" s="65"/>
      <c r="DC517" s="65"/>
      <c r="DD517" s="65"/>
      <c r="DE517" s="65"/>
      <c r="DF517" s="65"/>
      <c r="DG517" s="65"/>
      <c r="DH517" s="65"/>
      <c r="DI517" s="65"/>
      <c r="DJ517" s="65"/>
      <c r="DK517" s="65"/>
      <c r="DL517" s="65"/>
      <c r="DM517" s="65"/>
      <c r="DN517" s="65"/>
      <c r="DO517" s="65"/>
      <c r="DP517" s="65"/>
      <c r="DQ517" s="65"/>
      <c r="DR517" s="65"/>
    </row>
    <row r="518" spans="1:122" s="16" customFormat="1" hidden="1">
      <c r="A518" s="153"/>
      <c r="B518" s="46"/>
      <c r="C518" s="1223"/>
      <c r="D518" s="162"/>
      <c r="E518" s="225"/>
      <c r="F518" s="27"/>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162"/>
      <c r="AE518" s="162"/>
      <c r="AF518" s="162"/>
      <c r="AG518" s="27"/>
      <c r="AH518" s="27"/>
      <c r="AI518" s="27"/>
      <c r="AJ518" s="27"/>
      <c r="AK518" s="1195"/>
      <c r="AL518" s="162"/>
      <c r="AM518" s="46"/>
      <c r="AN518" s="1135"/>
      <c r="AP518" s="2322"/>
      <c r="AQ518" s="2323"/>
      <c r="AR518" s="2324"/>
      <c r="AS518" s="242">
        <v>35</v>
      </c>
      <c r="AT518" s="46">
        <v>0</v>
      </c>
      <c r="AU518" s="243">
        <v>8.8000000000000007</v>
      </c>
      <c r="AV518" s="243">
        <v>17.5</v>
      </c>
      <c r="AW518" s="243">
        <v>26.3</v>
      </c>
      <c r="AX518" s="243">
        <v>35</v>
      </c>
      <c r="AY518" s="243">
        <v>37.5</v>
      </c>
      <c r="AZ518" s="243">
        <v>50</v>
      </c>
      <c r="BA518" s="243">
        <v>50</v>
      </c>
      <c r="BE518" s="2322"/>
      <c r="BF518" s="2323"/>
      <c r="BG518" s="2324"/>
      <c r="BH518" s="242">
        <v>35</v>
      </c>
      <c r="BI518" s="46">
        <v>0</v>
      </c>
      <c r="BJ518" s="244">
        <v>0</v>
      </c>
      <c r="BK518" s="243">
        <v>17.5</v>
      </c>
      <c r="BL518" s="243">
        <v>26.3</v>
      </c>
      <c r="BM518" s="243">
        <v>35</v>
      </c>
      <c r="BN518" s="243">
        <v>37.5</v>
      </c>
      <c r="BO518" s="243">
        <v>50</v>
      </c>
      <c r="BP518" s="243">
        <v>50</v>
      </c>
      <c r="BR518" s="65"/>
      <c r="CR518" s="65"/>
      <c r="CS518" s="65"/>
      <c r="CT518" s="65"/>
      <c r="CU518" s="65"/>
      <c r="CV518" s="65"/>
      <c r="CW518" s="65"/>
      <c r="CX518" s="65"/>
      <c r="CY518" s="65"/>
      <c r="CZ518" s="65"/>
      <c r="DA518" s="65"/>
      <c r="DB518" s="65"/>
      <c r="DC518" s="65"/>
      <c r="DD518" s="65"/>
      <c r="DE518" s="65"/>
      <c r="DF518" s="65"/>
      <c r="DG518" s="65"/>
      <c r="DH518" s="65"/>
      <c r="DI518" s="65"/>
      <c r="DJ518" s="65"/>
      <c r="DK518" s="65"/>
      <c r="DL518" s="65"/>
      <c r="DM518" s="65"/>
      <c r="DN518" s="65"/>
      <c r="DO518" s="65"/>
      <c r="DP518" s="65"/>
      <c r="DQ518" s="65"/>
      <c r="DR518" s="65"/>
    </row>
    <row r="519" spans="1:122" s="16" customFormat="1" hidden="1">
      <c r="A519" s="153"/>
      <c r="B519" s="46"/>
      <c r="C519" s="2342"/>
      <c r="D519" s="1892"/>
      <c r="E519" s="297"/>
      <c r="F519" s="27" t="s">
        <v>1397</v>
      </c>
      <c r="G519" s="27"/>
      <c r="H519" s="27"/>
      <c r="I519" s="27"/>
      <c r="J519" s="27"/>
      <c r="K519" s="27"/>
      <c r="L519" s="27"/>
      <c r="M519" s="27"/>
      <c r="N519" s="27"/>
      <c r="O519" s="27"/>
      <c r="P519" s="27"/>
      <c r="Q519" s="27"/>
      <c r="R519" s="27"/>
      <c r="S519" s="27"/>
      <c r="T519" s="27"/>
      <c r="U519" s="27"/>
      <c r="V519" s="27"/>
      <c r="W519" s="27"/>
      <c r="X519" s="27"/>
      <c r="Y519" s="27"/>
      <c r="Z519" s="27"/>
      <c r="AA519" s="27"/>
      <c r="AB519" s="27"/>
      <c r="AC519" s="1158"/>
      <c r="AD519" s="162"/>
      <c r="AE519" s="162"/>
      <c r="AF519" s="162"/>
      <c r="AG519" s="175">
        <f>IF($C$517="Yes",(VLOOKUP($G$520,$AO$495:$AP$498,2,FALSE)),0)</f>
        <v>0</v>
      </c>
      <c r="AH519" s="1161" t="s">
        <v>1078</v>
      </c>
      <c r="AI519" s="27"/>
      <c r="AJ519" s="175"/>
      <c r="AK519" s="1195"/>
      <c r="AL519" s="162"/>
      <c r="AM519" s="46"/>
      <c r="AN519" s="1135"/>
      <c r="AP519" s="2322"/>
      <c r="AQ519" s="2323"/>
      <c r="AR519" s="2324"/>
      <c r="AS519" s="242">
        <v>30</v>
      </c>
      <c r="AT519" s="46">
        <v>0</v>
      </c>
      <c r="AU519" s="243">
        <v>7.5</v>
      </c>
      <c r="AV519" s="243">
        <v>15</v>
      </c>
      <c r="AW519" s="243">
        <v>22.5</v>
      </c>
      <c r="AX519" s="243">
        <v>30</v>
      </c>
      <c r="AY519" s="243">
        <v>37.5</v>
      </c>
      <c r="AZ519" s="243">
        <v>45</v>
      </c>
      <c r="BA519" s="243">
        <v>50</v>
      </c>
      <c r="BE519" s="2322"/>
      <c r="BF519" s="2323"/>
      <c r="BG519" s="2324"/>
      <c r="BH519" s="242">
        <v>30</v>
      </c>
      <c r="BI519" s="46">
        <v>0</v>
      </c>
      <c r="BJ519" s="244">
        <v>0</v>
      </c>
      <c r="BK519" s="243">
        <v>15</v>
      </c>
      <c r="BL519" s="243">
        <v>22.5</v>
      </c>
      <c r="BM519" s="243">
        <v>30</v>
      </c>
      <c r="BN519" s="243">
        <v>37.5</v>
      </c>
      <c r="BO519" s="243">
        <v>45</v>
      </c>
      <c r="BP519" s="243">
        <v>50</v>
      </c>
      <c r="BR519" s="46"/>
      <c r="CX519" s="65"/>
      <c r="CY519" s="65"/>
      <c r="CZ519" s="65"/>
      <c r="DA519" s="65"/>
      <c r="DB519" s="65"/>
      <c r="DC519" s="65"/>
      <c r="DD519" s="65"/>
      <c r="DE519" s="65"/>
      <c r="DF519" s="65"/>
      <c r="DG519" s="65"/>
      <c r="DH519" s="65"/>
      <c r="DI519" s="65"/>
      <c r="DJ519" s="65"/>
      <c r="DK519" s="65"/>
      <c r="DL519" s="65"/>
      <c r="DM519" s="65"/>
      <c r="DN519" s="65"/>
      <c r="DO519" s="65"/>
      <c r="DP519" s="65"/>
      <c r="DQ519" s="65"/>
      <c r="DR519" s="65"/>
    </row>
    <row r="520" spans="1:122" s="16" customFormat="1" hidden="1">
      <c r="A520" s="153"/>
      <c r="B520" s="46"/>
      <c r="C520" s="1223"/>
      <c r="D520" s="153"/>
      <c r="E520" s="225"/>
      <c r="F520" s="27"/>
      <c r="G520" s="2337" t="s">
        <v>136</v>
      </c>
      <c r="H520" s="2337"/>
      <c r="I520" s="2337"/>
      <c r="J520" s="2337"/>
      <c r="K520" s="2337"/>
      <c r="L520" s="2337"/>
      <c r="M520" s="2337"/>
      <c r="N520" s="2337"/>
      <c r="O520" s="2337"/>
      <c r="P520" s="2337"/>
      <c r="Q520" s="2337"/>
      <c r="R520" s="2337"/>
      <c r="S520" s="2337"/>
      <c r="T520" s="2337"/>
      <c r="U520" s="2337"/>
      <c r="V520" s="2337"/>
      <c r="W520" s="2337"/>
      <c r="X520" s="2337"/>
      <c r="Y520" s="2337"/>
      <c r="Z520" s="2337"/>
      <c r="AA520" s="2337"/>
      <c r="AB520" s="2337"/>
      <c r="AC520" s="2337"/>
      <c r="AD520" s="2337"/>
      <c r="AE520" s="2337"/>
      <c r="AF520" s="2337"/>
      <c r="AG520" s="162"/>
      <c r="AH520" s="162"/>
      <c r="AI520" s="162"/>
      <c r="AJ520" s="27"/>
      <c r="AK520" s="1195"/>
      <c r="AL520" s="162"/>
      <c r="AM520" s="46"/>
      <c r="AN520" s="1135"/>
      <c r="AP520" s="2322"/>
      <c r="AQ520" s="2323"/>
      <c r="AR520" s="2324"/>
      <c r="AS520" s="242">
        <v>25</v>
      </c>
      <c r="AT520" s="46">
        <v>0</v>
      </c>
      <c r="AU520" s="243">
        <v>6.3</v>
      </c>
      <c r="AV520" s="243">
        <v>12.5</v>
      </c>
      <c r="AW520" s="243">
        <v>18.8</v>
      </c>
      <c r="AX520" s="243">
        <v>25</v>
      </c>
      <c r="AY520" s="243">
        <v>31.3</v>
      </c>
      <c r="AZ520" s="243">
        <v>37.5</v>
      </c>
      <c r="BA520" s="243">
        <v>50</v>
      </c>
      <c r="BE520" s="2322"/>
      <c r="BF520" s="2323"/>
      <c r="BG520" s="2324"/>
      <c r="BH520" s="242">
        <v>25</v>
      </c>
      <c r="BI520" s="46">
        <v>0</v>
      </c>
      <c r="BJ520" s="244">
        <v>0</v>
      </c>
      <c r="BK520" s="243">
        <v>12.5</v>
      </c>
      <c r="BL520" s="243">
        <v>18.8</v>
      </c>
      <c r="BM520" s="243">
        <v>25</v>
      </c>
      <c r="BN520" s="243">
        <v>31.3</v>
      </c>
      <c r="BO520" s="243">
        <v>37.5</v>
      </c>
      <c r="BP520" s="243">
        <v>50</v>
      </c>
      <c r="BR520" s="46"/>
      <c r="CX520" s="65"/>
      <c r="CY520" s="65"/>
      <c r="CZ520" s="65"/>
      <c r="DA520" s="65"/>
      <c r="DB520" s="65"/>
      <c r="DC520" s="65"/>
      <c r="DD520" s="65"/>
      <c r="DE520" s="65"/>
      <c r="DF520" s="65"/>
      <c r="DG520" s="65"/>
      <c r="DH520" s="65"/>
      <c r="DI520" s="65"/>
      <c r="DJ520" s="65"/>
      <c r="DK520" s="65"/>
      <c r="DL520" s="65"/>
      <c r="DM520" s="65"/>
      <c r="DN520" s="65"/>
      <c r="DO520" s="65"/>
      <c r="DP520" s="65"/>
      <c r="DQ520" s="65"/>
      <c r="DR520" s="65"/>
    </row>
    <row r="521" spans="1:122" s="16" customFormat="1" hidden="1">
      <c r="A521" s="153"/>
      <c r="B521" s="46"/>
      <c r="C521" s="1246"/>
      <c r="D521" s="35"/>
      <c r="E521" s="35"/>
      <c r="F521" s="553"/>
      <c r="G521" s="1247"/>
      <c r="H521" s="1247"/>
      <c r="I521" s="1247"/>
      <c r="J521" s="1247"/>
      <c r="K521" s="1247"/>
      <c r="L521" s="1247"/>
      <c r="M521" s="1247"/>
      <c r="N521" s="1247"/>
      <c r="O521" s="1247"/>
      <c r="P521" s="1247"/>
      <c r="Q521" s="1247"/>
      <c r="R521" s="1247"/>
      <c r="S521" s="1247"/>
      <c r="T521" s="1247"/>
      <c r="U521" s="1247"/>
      <c r="V521" s="1247"/>
      <c r="W521" s="1247"/>
      <c r="X521" s="1247"/>
      <c r="Y521" s="1247"/>
      <c r="Z521" s="1247"/>
      <c r="AA521" s="1247"/>
      <c r="AB521" s="1247"/>
      <c r="AC521" s="1247"/>
      <c r="AD521" s="162"/>
      <c r="AE521" s="162"/>
      <c r="AF521" s="162"/>
      <c r="AG521" s="1247"/>
      <c r="AH521" s="1247"/>
      <c r="AI521" s="1247"/>
      <c r="AJ521" s="1247"/>
      <c r="AK521" s="1195"/>
      <c r="AL521" s="162"/>
      <c r="AM521" s="46"/>
      <c r="AN521" s="1135"/>
      <c r="AP521" s="2322"/>
      <c r="AQ521" s="2323"/>
      <c r="AR521" s="2324"/>
      <c r="AS521" s="242">
        <v>20</v>
      </c>
      <c r="AT521" s="46">
        <v>0</v>
      </c>
      <c r="AU521" s="243">
        <v>5</v>
      </c>
      <c r="AV521" s="243">
        <v>10</v>
      </c>
      <c r="AW521" s="243">
        <v>15</v>
      </c>
      <c r="AX521" s="243">
        <v>20</v>
      </c>
      <c r="AY521" s="243">
        <v>25</v>
      </c>
      <c r="AZ521" s="243">
        <v>30</v>
      </c>
      <c r="BA521" s="243">
        <v>40</v>
      </c>
      <c r="BE521" s="2322"/>
      <c r="BF521" s="2323"/>
      <c r="BG521" s="2324"/>
      <c r="BH521" s="242">
        <v>20</v>
      </c>
      <c r="BI521" s="46">
        <v>0</v>
      </c>
      <c r="BJ521" s="244">
        <v>0</v>
      </c>
      <c r="BK521" s="243">
        <v>10</v>
      </c>
      <c r="BL521" s="243">
        <v>15</v>
      </c>
      <c r="BM521" s="243">
        <v>20</v>
      </c>
      <c r="BN521" s="243">
        <v>25</v>
      </c>
      <c r="BO521" s="243">
        <v>30</v>
      </c>
      <c r="BP521" s="243">
        <v>40</v>
      </c>
      <c r="BR521" s="46"/>
      <c r="CX521" s="65"/>
      <c r="CY521" s="65"/>
      <c r="CZ521" s="65"/>
      <c r="DA521" s="65"/>
      <c r="DB521" s="65"/>
      <c r="DC521" s="65"/>
      <c r="DD521" s="65"/>
      <c r="DE521" s="65"/>
      <c r="DF521" s="65"/>
      <c r="DG521" s="65"/>
      <c r="DH521" s="65"/>
      <c r="DI521" s="65"/>
      <c r="DJ521" s="65"/>
      <c r="DK521" s="65"/>
      <c r="DL521" s="65"/>
      <c r="DM521" s="65"/>
      <c r="DN521" s="65"/>
      <c r="DO521" s="65"/>
      <c r="DP521" s="65"/>
      <c r="DQ521" s="65"/>
      <c r="DR521" s="65"/>
    </row>
    <row r="522" spans="1:122" s="16" customFormat="1" ht="12.75" hidden="1" customHeight="1">
      <c r="A522" s="65"/>
      <c r="B522" s="46"/>
      <c r="C522" s="2338" t="s">
        <v>136</v>
      </c>
      <c r="D522" s="2339"/>
      <c r="E522" s="35"/>
      <c r="F522" s="27" t="s">
        <v>1398</v>
      </c>
      <c r="G522" s="27"/>
      <c r="H522" s="27"/>
      <c r="I522" s="27"/>
      <c r="J522" s="27"/>
      <c r="K522" s="27"/>
      <c r="L522" s="27"/>
      <c r="M522" s="27"/>
      <c r="N522" s="27"/>
      <c r="O522" s="27"/>
      <c r="P522" s="27"/>
      <c r="Q522" s="27"/>
      <c r="R522" s="27"/>
      <c r="S522" s="27"/>
      <c r="T522" s="27"/>
      <c r="U522" s="27"/>
      <c r="V522" s="27"/>
      <c r="W522" s="27"/>
      <c r="X522" s="27"/>
      <c r="Y522" s="27"/>
      <c r="Z522" s="27"/>
      <c r="AA522" s="27"/>
      <c r="AB522" s="27"/>
      <c r="AC522" s="1158"/>
      <c r="AD522" s="162"/>
      <c r="AE522" s="162"/>
      <c r="AF522" s="162"/>
      <c r="AG522" s="175">
        <f>IF(AND($C$522="Yes",$C$517="Yes"),2,0)</f>
        <v>0</v>
      </c>
      <c r="AH522" s="1161" t="s">
        <v>1078</v>
      </c>
      <c r="AI522" s="27"/>
      <c r="AJ522" s="1159"/>
      <c r="AK522" s="1195"/>
      <c r="AL522" s="162"/>
      <c r="AM522" s="46"/>
      <c r="AN522" s="1135"/>
      <c r="AP522" s="2322"/>
      <c r="AQ522" s="2323"/>
      <c r="AR522" s="2324"/>
      <c r="AS522" s="242">
        <v>15</v>
      </c>
      <c r="AT522" s="46">
        <v>0</v>
      </c>
      <c r="AU522" s="243">
        <v>3.8</v>
      </c>
      <c r="AV522" s="243">
        <v>7.5</v>
      </c>
      <c r="AW522" s="243">
        <v>11.3</v>
      </c>
      <c r="AX522" s="243">
        <v>15</v>
      </c>
      <c r="AY522" s="243">
        <v>18.8</v>
      </c>
      <c r="AZ522" s="243">
        <v>22.5</v>
      </c>
      <c r="BA522" s="243">
        <v>30</v>
      </c>
      <c r="BE522" s="2322"/>
      <c r="BF522" s="2323"/>
      <c r="BG522" s="2324"/>
      <c r="BH522" s="242">
        <v>15</v>
      </c>
      <c r="BI522" s="46">
        <v>0</v>
      </c>
      <c r="BJ522" s="244">
        <v>0</v>
      </c>
      <c r="BK522" s="243">
        <v>7.5</v>
      </c>
      <c r="BL522" s="243">
        <v>11.3</v>
      </c>
      <c r="BM522" s="243">
        <v>15</v>
      </c>
      <c r="BN522" s="243">
        <v>18.8</v>
      </c>
      <c r="BO522" s="243">
        <v>22.5</v>
      </c>
      <c r="BP522" s="243">
        <v>30</v>
      </c>
      <c r="BR522" s="46"/>
      <c r="CM522" s="46"/>
      <c r="CN522" s="46"/>
      <c r="CO522" s="46"/>
      <c r="CP522" s="46"/>
      <c r="CQ522" s="46"/>
      <c r="CR522" s="46"/>
      <c r="CS522" s="46"/>
      <c r="CT522" s="46"/>
      <c r="CU522" s="46"/>
      <c r="CV522" s="46"/>
      <c r="CW522" s="46"/>
      <c r="CX522" s="65"/>
      <c r="CY522" s="65"/>
      <c r="CZ522" s="65"/>
      <c r="DA522" s="65"/>
      <c r="DB522" s="65"/>
      <c r="DC522" s="65"/>
      <c r="DD522" s="65"/>
      <c r="DE522" s="65"/>
      <c r="DF522" s="65"/>
      <c r="DG522" s="65"/>
      <c r="DH522" s="65"/>
      <c r="DI522" s="65"/>
      <c r="DJ522" s="65"/>
      <c r="DK522" s="65"/>
      <c r="DL522" s="65"/>
      <c r="DM522" s="65"/>
      <c r="DN522" s="65"/>
      <c r="DO522" s="65"/>
      <c r="DP522" s="65"/>
      <c r="DQ522" s="65"/>
      <c r="DR522" s="65"/>
    </row>
    <row r="523" spans="1:122" s="16" customFormat="1" hidden="1">
      <c r="A523" s="65"/>
      <c r="B523" s="46"/>
      <c r="C523" s="1235"/>
      <c r="D523" s="1162"/>
      <c r="E523" s="1162"/>
      <c r="F523" s="27"/>
      <c r="G523" s="27" t="s">
        <v>1394</v>
      </c>
      <c r="H523" s="27"/>
      <c r="I523" s="27"/>
      <c r="J523" s="27"/>
      <c r="K523" s="27"/>
      <c r="L523" s="27"/>
      <c r="M523" s="27"/>
      <c r="N523" s="27"/>
      <c r="O523" s="27"/>
      <c r="P523" s="27"/>
      <c r="Q523" s="27"/>
      <c r="R523" s="27"/>
      <c r="S523" s="27"/>
      <c r="T523" s="27"/>
      <c r="U523" s="27"/>
      <c r="V523" s="27"/>
      <c r="W523" s="27"/>
      <c r="X523" s="27"/>
      <c r="Y523" s="27"/>
      <c r="Z523" s="27"/>
      <c r="AA523" s="27"/>
      <c r="AB523" s="27"/>
      <c r="AC523" s="1158"/>
      <c r="AD523" s="162"/>
      <c r="AE523" s="162"/>
      <c r="AF523" s="162"/>
      <c r="AG523" s="1159"/>
      <c r="AH523" s="1159"/>
      <c r="AI523" s="1159"/>
      <c r="AJ523" s="1159"/>
      <c r="AK523" s="1195"/>
      <c r="AL523" s="162"/>
      <c r="AM523" s="46"/>
      <c r="AN523" s="1140"/>
      <c r="AP523" s="2375"/>
      <c r="AQ523" s="2376"/>
      <c r="AR523" s="2377"/>
      <c r="AS523" s="242">
        <v>10</v>
      </c>
      <c r="AT523" s="46">
        <v>0</v>
      </c>
      <c r="AU523" s="243">
        <v>2.5</v>
      </c>
      <c r="AV523" s="243">
        <v>5</v>
      </c>
      <c r="AW523" s="243">
        <v>7.5</v>
      </c>
      <c r="AX523" s="243">
        <v>10</v>
      </c>
      <c r="AY523" s="243">
        <v>12.5</v>
      </c>
      <c r="AZ523" s="243">
        <v>15</v>
      </c>
      <c r="BA523" s="243">
        <v>20</v>
      </c>
      <c r="BE523" s="2375"/>
      <c r="BF523" s="2376"/>
      <c r="BG523" s="2377"/>
      <c r="BH523" s="242">
        <v>10</v>
      </c>
      <c r="BI523" s="46">
        <v>0</v>
      </c>
      <c r="BJ523" s="244">
        <v>0</v>
      </c>
      <c r="BK523" s="243">
        <v>5</v>
      </c>
      <c r="BL523" s="243">
        <v>7.5</v>
      </c>
      <c r="BM523" s="243">
        <v>10</v>
      </c>
      <c r="BN523" s="243">
        <v>12.5</v>
      </c>
      <c r="BO523" s="243">
        <v>15</v>
      </c>
      <c r="BP523" s="243">
        <v>20</v>
      </c>
      <c r="BR523" s="46"/>
      <c r="CW523" s="46"/>
    </row>
    <row r="524" spans="1:122" s="137" customFormat="1" ht="12.75" hidden="1" customHeight="1">
      <c r="A524" s="189"/>
      <c r="B524" s="153"/>
      <c r="C524" s="1235"/>
      <c r="D524" s="1162"/>
      <c r="E524" s="1162"/>
      <c r="F524" s="27"/>
      <c r="G524" s="27" t="s">
        <v>1393</v>
      </c>
      <c r="H524" s="27"/>
      <c r="I524" s="27"/>
      <c r="J524" s="27"/>
      <c r="K524" s="27"/>
      <c r="L524" s="27"/>
      <c r="M524" s="27"/>
      <c r="N524" s="27"/>
      <c r="O524" s="27"/>
      <c r="P524" s="27"/>
      <c r="Q524" s="27"/>
      <c r="R524" s="27"/>
      <c r="S524" s="27"/>
      <c r="T524" s="27"/>
      <c r="U524" s="27"/>
      <c r="V524" s="27"/>
      <c r="W524" s="27"/>
      <c r="X524" s="27"/>
      <c r="Y524" s="27"/>
      <c r="Z524" s="27"/>
      <c r="AA524" s="27"/>
      <c r="AB524" s="27"/>
      <c r="AC524" s="1158"/>
      <c r="AD524" s="153"/>
      <c r="AE524" s="153"/>
      <c r="AF524" s="153"/>
      <c r="AG524" s="1159"/>
      <c r="AH524" s="1159"/>
      <c r="AI524" s="1159"/>
      <c r="AJ524" s="1159"/>
      <c r="AK524" s="1252"/>
      <c r="AL524" s="153"/>
      <c r="AM524" s="153"/>
      <c r="AN524" s="1136"/>
      <c r="AP524" s="136"/>
      <c r="AQ524" s="136"/>
      <c r="AR524" s="136"/>
      <c r="CW524" s="46"/>
    </row>
    <row r="525" spans="1:122" s="46" customFormat="1" ht="12.75" hidden="1" customHeight="1">
      <c r="A525" s="57"/>
      <c r="B525" s="65"/>
      <c r="C525" s="1248"/>
      <c r="D525" s="189"/>
      <c r="E525" s="153"/>
      <c r="F525" s="153"/>
      <c r="G525" s="144"/>
      <c r="H525" s="144"/>
      <c r="I525" s="144"/>
      <c r="J525" s="144"/>
      <c r="K525" s="144"/>
      <c r="L525" s="144"/>
      <c r="M525" s="144"/>
      <c r="N525" s="144"/>
      <c r="O525" s="144"/>
      <c r="P525" s="144"/>
      <c r="Q525" s="144"/>
      <c r="R525" s="144"/>
      <c r="S525" s="144"/>
      <c r="T525" s="144"/>
      <c r="U525" s="144"/>
      <c r="V525" s="144"/>
      <c r="W525" s="144"/>
      <c r="X525" s="144"/>
      <c r="Y525" s="144"/>
      <c r="Z525" s="144"/>
      <c r="AA525" s="144"/>
      <c r="AB525" s="144"/>
      <c r="AC525" s="144"/>
      <c r="AD525" s="144"/>
      <c r="AE525" s="144"/>
      <c r="AF525" s="144"/>
      <c r="AG525" s="1158"/>
      <c r="AH525" s="1158"/>
      <c r="AI525" s="1158"/>
      <c r="AJ525" s="1158"/>
      <c r="AK525" s="1253"/>
      <c r="AL525" s="125"/>
      <c r="AM525" s="65"/>
      <c r="AN525" s="1136"/>
      <c r="AO525" s="8"/>
      <c r="AP525" s="8"/>
      <c r="AQ525" s="8"/>
      <c r="AR525" s="8"/>
    </row>
    <row r="526" spans="1:122" s="46" customFormat="1" ht="12.75" hidden="1" customHeight="1">
      <c r="A526" s="57"/>
      <c r="C526" s="2338" t="s">
        <v>136</v>
      </c>
      <c r="D526" s="2339"/>
      <c r="E526" s="162"/>
      <c r="F526" s="793" t="s">
        <v>964</v>
      </c>
      <c r="G526" s="2340" t="s">
        <v>1087</v>
      </c>
      <c r="H526" s="2340"/>
      <c r="I526" s="2340"/>
      <c r="J526" s="2340"/>
      <c r="K526" s="2340"/>
      <c r="L526" s="2340"/>
      <c r="M526" s="2340"/>
      <c r="N526" s="2340"/>
      <c r="O526" s="2340"/>
      <c r="P526" s="2340"/>
      <c r="Q526" s="2340"/>
      <c r="R526" s="2340"/>
      <c r="S526" s="2340"/>
      <c r="T526" s="2340"/>
      <c r="U526" s="2340"/>
      <c r="V526" s="2340"/>
      <c r="W526" s="2340"/>
      <c r="X526" s="2340"/>
      <c r="Y526" s="2340"/>
      <c r="Z526" s="2340"/>
      <c r="AA526" s="2340"/>
      <c r="AB526" s="2340"/>
      <c r="AC526" s="2340"/>
      <c r="AD526" s="2340"/>
      <c r="AE526" s="2340"/>
      <c r="AF526" s="2340"/>
      <c r="AG526" s="175">
        <f>IF(AND($C$526="Yes",$C$517="Yes"),2,0)</f>
        <v>0</v>
      </c>
      <c r="AH526" s="1161" t="s">
        <v>1078</v>
      </c>
      <c r="AI526" s="27"/>
      <c r="AJ526" s="1159"/>
      <c r="AK526" s="1195"/>
      <c r="AL526" s="162"/>
      <c r="AN526" s="1136"/>
      <c r="AP526" s="253"/>
      <c r="AQ526" s="254"/>
      <c r="AR526" s="254"/>
      <c r="AS526" s="254"/>
      <c r="AT526" s="254"/>
      <c r="AU526" s="254"/>
      <c r="AV526" s="254"/>
      <c r="AW526" s="254"/>
      <c r="AX526" s="254"/>
      <c r="AY526" s="254"/>
      <c r="AZ526" s="255"/>
      <c r="BA526" s="254"/>
      <c r="BB526" s="254"/>
      <c r="BC526" s="138" t="s">
        <v>376</v>
      </c>
      <c r="BD526" s="2355">
        <f>BJ530</f>
        <v>40</v>
      </c>
      <c r="BE526" s="2355"/>
      <c r="BF526" s="255" t="s">
        <v>377</v>
      </c>
      <c r="BG526" s="254"/>
      <c r="BH526" s="254"/>
      <c r="BI526" s="254"/>
      <c r="BJ526" s="254"/>
      <c r="BK526" s="256"/>
      <c r="BM526" s="16"/>
      <c r="BN526" s="241" t="s">
        <v>787</v>
      </c>
      <c r="BO526" s="16"/>
      <c r="BP526" s="241"/>
      <c r="BQ526" s="241"/>
      <c r="BR526" s="241"/>
      <c r="BS526" s="241"/>
      <c r="BT526" s="241"/>
      <c r="BU526" s="241"/>
      <c r="BV526" s="16"/>
      <c r="BW526" s="16"/>
      <c r="BX526" s="16"/>
      <c r="BY526" s="16"/>
      <c r="BZ526" s="16"/>
      <c r="CA526" s="16"/>
      <c r="CB526" s="16"/>
      <c r="CC526" s="16"/>
      <c r="CD526" s="16"/>
      <c r="CE526" s="16"/>
      <c r="CF526" s="147" t="s">
        <v>1251</v>
      </c>
      <c r="CG526" s="16"/>
      <c r="CH526" s="16"/>
      <c r="CI526" s="16"/>
      <c r="CJ526" s="16"/>
    </row>
    <row r="527" spans="1:122" s="46" customFormat="1" ht="12.75" hidden="1" customHeight="1">
      <c r="A527" s="28"/>
      <c r="C527" s="1250"/>
      <c r="D527" s="1243"/>
      <c r="E527" s="1225"/>
      <c r="F527" s="1251"/>
      <c r="G527" s="2341"/>
      <c r="H527" s="2341"/>
      <c r="I527" s="2341"/>
      <c r="J527" s="2341"/>
      <c r="K527" s="2341"/>
      <c r="L527" s="2341"/>
      <c r="M527" s="2341"/>
      <c r="N527" s="2341"/>
      <c r="O527" s="2341"/>
      <c r="P527" s="2341"/>
      <c r="Q527" s="2341"/>
      <c r="R527" s="2341"/>
      <c r="S527" s="2341"/>
      <c r="T527" s="2341"/>
      <c r="U527" s="2341"/>
      <c r="V527" s="2341"/>
      <c r="W527" s="2341"/>
      <c r="X527" s="2341"/>
      <c r="Y527" s="2341"/>
      <c r="Z527" s="2341"/>
      <c r="AA527" s="2341"/>
      <c r="AB527" s="2341"/>
      <c r="AC527" s="2341"/>
      <c r="AD527" s="2341"/>
      <c r="AE527" s="2341"/>
      <c r="AF527" s="2341"/>
      <c r="AG527" s="1227"/>
      <c r="AH527" s="1227"/>
      <c r="AI527" s="1227"/>
      <c r="AJ527" s="1227"/>
      <c r="AK527" s="1206"/>
      <c r="AL527" s="162"/>
      <c r="AN527" s="1136"/>
      <c r="AP527" s="253"/>
      <c r="AQ527" s="254"/>
      <c r="AR527" s="254"/>
      <c r="AS527" s="254"/>
      <c r="AT527" s="254"/>
      <c r="AU527" s="254"/>
      <c r="AV527" s="254"/>
      <c r="AW527" s="254"/>
      <c r="AX527" s="254"/>
      <c r="AY527" s="254"/>
      <c r="AZ527" s="255"/>
      <c r="BA527" s="254"/>
      <c r="BB527" s="254"/>
      <c r="BC527" s="99" t="s">
        <v>378</v>
      </c>
      <c r="BD527" s="2355">
        <f>SUM(E583:J591)</f>
        <v>40</v>
      </c>
      <c r="BE527" s="2355"/>
      <c r="BF527" s="255" t="s">
        <v>377</v>
      </c>
      <c r="BG527" s="254"/>
      <c r="BH527" s="254"/>
      <c r="BI527" s="254"/>
      <c r="BJ527" s="254"/>
      <c r="BK527" s="256"/>
      <c r="BM527" s="669">
        <v>4</v>
      </c>
      <c r="BN527" s="668"/>
      <c r="BO527" s="669">
        <v>4</v>
      </c>
      <c r="BP527" s="668"/>
      <c r="BQ527" s="670">
        <v>3</v>
      </c>
      <c r="BR527" s="672"/>
      <c r="BS527" s="670">
        <v>3</v>
      </c>
      <c r="BT527" s="672"/>
      <c r="BU527" s="669">
        <v>2</v>
      </c>
      <c r="BV527" s="668"/>
      <c r="BW527" s="669">
        <v>2</v>
      </c>
      <c r="BX527" s="668"/>
      <c r="BY527" s="670">
        <v>1</v>
      </c>
      <c r="BZ527" s="672"/>
      <c r="CA527" s="670">
        <v>1</v>
      </c>
      <c r="CB527" s="672"/>
      <c r="CC527" s="669" t="s">
        <v>681</v>
      </c>
      <c r="CD527" s="668"/>
      <c r="CE527" s="669" t="s">
        <v>681</v>
      </c>
      <c r="CF527" s="668"/>
      <c r="CG527" s="16"/>
      <c r="CH527" s="16"/>
      <c r="CI527" s="16"/>
      <c r="CJ527" s="16"/>
    </row>
    <row r="528" spans="1:122" s="137" customFormat="1" ht="12.75" hidden="1" customHeight="1">
      <c r="A528" s="28"/>
      <c r="B528" s="46"/>
      <c r="C528" s="161"/>
      <c r="D528" s="153"/>
      <c r="E528" s="225"/>
      <c r="F528" s="163"/>
      <c r="G528" s="1160"/>
      <c r="H528" s="1160"/>
      <c r="I528" s="1160"/>
      <c r="J528" s="1160"/>
      <c r="K528" s="1160"/>
      <c r="L528" s="1160"/>
      <c r="M528" s="1160"/>
      <c r="N528" s="1160"/>
      <c r="O528" s="1160"/>
      <c r="P528" s="1160"/>
      <c r="Q528" s="1160"/>
      <c r="R528" s="1160"/>
      <c r="S528" s="1160"/>
      <c r="T528" s="1160"/>
      <c r="U528" s="1160"/>
      <c r="V528" s="1160"/>
      <c r="W528" s="1160"/>
      <c r="X528" s="1160"/>
      <c r="Y528" s="1160"/>
      <c r="Z528" s="1160"/>
      <c r="AA528" s="1160"/>
      <c r="AB528" s="1160"/>
      <c r="AC528" s="1160"/>
      <c r="AD528" s="1160"/>
      <c r="AE528" s="1160"/>
      <c r="AF528" s="1160"/>
      <c r="AG528" s="27"/>
      <c r="AH528" s="27"/>
      <c r="AI528" s="27"/>
      <c r="AJ528" s="27"/>
      <c r="AK528" s="162"/>
      <c r="AL528" s="162"/>
      <c r="AM528" s="46"/>
      <c r="AN528" s="1138"/>
      <c r="AP528" s="683"/>
      <c r="AQ528" s="684"/>
      <c r="AR528" s="684"/>
      <c r="AS528" s="684"/>
      <c r="AT528" s="684"/>
      <c r="AU528" s="684"/>
      <c r="AV528" s="684"/>
      <c r="AW528" s="684"/>
      <c r="AX528" s="684"/>
      <c r="AY528" s="684"/>
      <c r="AZ528" s="684"/>
      <c r="BA528" s="684"/>
      <c r="BB528" s="684"/>
      <c r="BC528" s="684"/>
      <c r="BD528" s="684"/>
      <c r="BE528" s="684"/>
      <c r="BF528" s="684"/>
      <c r="BG528" s="684"/>
      <c r="BH528" s="684"/>
      <c r="BI528" s="99" t="s">
        <v>593</v>
      </c>
      <c r="BJ528" s="2353">
        <v>0</v>
      </c>
      <c r="BK528" s="2354"/>
      <c r="BM528" s="669">
        <f>IF(T608&gt;0,1,0)</f>
        <v>0</v>
      </c>
      <c r="BN528" s="668"/>
      <c r="BO528" s="669">
        <f>IF(Y608&gt;=0.1,1,0)</f>
        <v>0</v>
      </c>
      <c r="BP528" s="668"/>
      <c r="BQ528" s="670"/>
      <c r="BR528" s="672"/>
      <c r="BS528" s="670"/>
      <c r="BT528" s="672"/>
      <c r="BU528" s="669"/>
      <c r="BV528" s="668"/>
      <c r="BW528" s="669"/>
      <c r="BX528" s="668"/>
      <c r="BY528" s="670"/>
      <c r="BZ528" s="672"/>
      <c r="CA528" s="670"/>
      <c r="CB528" s="672"/>
      <c r="CC528" s="669"/>
      <c r="CD528" s="668"/>
      <c r="CE528" s="669"/>
      <c r="CF528" s="668"/>
      <c r="CG528" s="16"/>
      <c r="CH528" s="16"/>
      <c r="CI528" s="16"/>
      <c r="CJ528" s="16"/>
    </row>
    <row r="529" spans="1:101" s="46" customFormat="1" ht="12.75" hidden="1" customHeight="1">
      <c r="A529" s="28"/>
      <c r="C529" s="1255" t="s">
        <v>2080</v>
      </c>
      <c r="D529" s="1256"/>
      <c r="E529" s="1257"/>
      <c r="F529" s="1258"/>
      <c r="G529" s="1259"/>
      <c r="H529" s="1259"/>
      <c r="I529" s="1259"/>
      <c r="J529" s="1259"/>
      <c r="K529" s="1259"/>
      <c r="L529" s="1259"/>
      <c r="M529" s="1259"/>
      <c r="N529" s="1259"/>
      <c r="O529" s="1259"/>
      <c r="P529" s="1259"/>
      <c r="Q529" s="1259"/>
      <c r="R529" s="1259"/>
      <c r="S529" s="1259"/>
      <c r="T529" s="1259"/>
      <c r="U529" s="1259"/>
      <c r="V529" s="1259"/>
      <c r="W529" s="1259"/>
      <c r="X529" s="1259"/>
      <c r="Y529" s="1259"/>
      <c r="Z529" s="1259"/>
      <c r="AA529" s="1259"/>
      <c r="AB529" s="1259"/>
      <c r="AC529" s="1259"/>
      <c r="AD529" s="1259"/>
      <c r="AE529" s="1259"/>
      <c r="AF529" s="1259"/>
      <c r="AG529" s="1231"/>
      <c r="AH529" s="1231"/>
      <c r="AI529" s="1231"/>
      <c r="AJ529" s="1231"/>
      <c r="AK529" s="1215"/>
      <c r="AL529" s="162"/>
      <c r="AN529" s="439"/>
      <c r="AP529" s="683"/>
      <c r="AQ529" s="684"/>
      <c r="AR529" s="684"/>
      <c r="AS529" s="684"/>
      <c r="AT529" s="684"/>
      <c r="AU529" s="684"/>
      <c r="AV529" s="684"/>
      <c r="AW529" s="684"/>
      <c r="AX529" s="684"/>
      <c r="AY529" s="684"/>
      <c r="AZ529" s="684"/>
      <c r="BA529" s="684"/>
      <c r="BB529" s="684"/>
      <c r="BC529" s="684"/>
      <c r="BD529" s="684"/>
      <c r="BE529" s="684"/>
      <c r="BF529" s="684"/>
      <c r="BG529" s="684"/>
      <c r="BH529" s="684"/>
      <c r="BI529" s="685" t="s">
        <v>11</v>
      </c>
      <c r="BJ529" s="2353">
        <f>Application!AG431</f>
        <v>0</v>
      </c>
      <c r="BK529" s="2354"/>
      <c r="BM529" s="669"/>
      <c r="BN529" s="668"/>
      <c r="BO529" s="669"/>
      <c r="BP529" s="668"/>
      <c r="BQ529" s="673">
        <f>IF(T609&gt;0,1,0)</f>
        <v>1</v>
      </c>
      <c r="BR529" s="674"/>
      <c r="BS529" s="673">
        <f>IF(Y609&gt;=0.1,1,0)</f>
        <v>1</v>
      </c>
      <c r="BT529" s="674"/>
      <c r="BU529" s="669"/>
      <c r="BV529" s="668"/>
      <c r="BW529" s="669"/>
      <c r="BX529" s="668"/>
      <c r="BY529" s="670"/>
      <c r="BZ529" s="672"/>
      <c r="CA529" s="670"/>
      <c r="CB529" s="672"/>
      <c r="CC529" s="669"/>
      <c r="CD529" s="668"/>
      <c r="CE529" s="669"/>
      <c r="CF529" s="668"/>
      <c r="CG529" s="16"/>
      <c r="CH529" s="16"/>
      <c r="CI529" s="16"/>
      <c r="CJ529" s="16"/>
    </row>
    <row r="530" spans="1:101" s="46" customFormat="1" ht="12.75" hidden="1" customHeight="1">
      <c r="A530" s="28"/>
      <c r="C530" s="2331" t="s">
        <v>136</v>
      </c>
      <c r="D530" s="1786"/>
      <c r="E530" s="792" t="s">
        <v>1396</v>
      </c>
      <c r="F530" s="893" t="s">
        <v>1492</v>
      </c>
      <c r="G530" s="1160"/>
      <c r="H530" s="1160"/>
      <c r="I530" s="1160"/>
      <c r="J530" s="1160"/>
      <c r="K530" s="1160"/>
      <c r="L530" s="1160"/>
      <c r="M530" s="1160"/>
      <c r="N530" s="1160"/>
      <c r="O530" s="1160"/>
      <c r="P530" s="1160"/>
      <c r="Q530" s="1160"/>
      <c r="R530" s="1160"/>
      <c r="S530" s="1160"/>
      <c r="T530" s="1160"/>
      <c r="U530" s="1160"/>
      <c r="V530" s="1160"/>
      <c r="W530" s="1160"/>
      <c r="X530" s="1160"/>
      <c r="Y530" s="1160"/>
      <c r="Z530" s="1160"/>
      <c r="AA530" s="1160"/>
      <c r="AB530" s="1160"/>
      <c r="AC530" s="1160"/>
      <c r="AD530" s="1160"/>
      <c r="AE530" s="1160"/>
      <c r="AF530" s="1160"/>
      <c r="AG530" s="175">
        <f>IF(C$530="Yes",(VLOOKUP(F$531,$AO$501:$AP$504,2,FALSE)),0)</f>
        <v>0</v>
      </c>
      <c r="AH530" s="1161" t="s">
        <v>1078</v>
      </c>
      <c r="AI530" s="27"/>
      <c r="AJ530" s="27"/>
      <c r="AK530" s="1195"/>
      <c r="AL530" s="162"/>
      <c r="AN530" s="439"/>
      <c r="AP530" s="682"/>
      <c r="AQ530" s="686"/>
      <c r="AR530" s="686"/>
      <c r="AS530" s="686"/>
      <c r="AT530" s="686"/>
      <c r="AU530" s="686"/>
      <c r="AV530" s="686"/>
      <c r="AW530" s="686"/>
      <c r="AX530" s="686"/>
      <c r="AY530" s="686"/>
      <c r="AZ530" s="686"/>
      <c r="BA530" s="686"/>
      <c r="BB530" s="686"/>
      <c r="BC530" s="686"/>
      <c r="BD530" s="686"/>
      <c r="BE530" s="686"/>
      <c r="BF530" s="686"/>
      <c r="BG530" s="686"/>
      <c r="BH530" s="686"/>
      <c r="BI530" s="688" t="s">
        <v>375</v>
      </c>
      <c r="BJ530" s="2353">
        <f>Application!AG433</f>
        <v>40</v>
      </c>
      <c r="BK530" s="2354"/>
      <c r="BM530" s="2368"/>
      <c r="BN530" s="2369"/>
      <c r="BO530" s="2368"/>
      <c r="BP530" s="2369"/>
      <c r="BQ530" s="2365"/>
      <c r="BR530" s="2367"/>
      <c r="BS530" s="2365"/>
      <c r="BT530" s="2367"/>
      <c r="BU530" s="2368">
        <f>IF(T610&gt;0,1,0)</f>
        <v>1</v>
      </c>
      <c r="BV530" s="2369"/>
      <c r="BW530" s="2368">
        <f>IF(Y610&gt;=0.1,1,0)</f>
        <v>1</v>
      </c>
      <c r="BX530" s="2369"/>
      <c r="BY530" s="2365"/>
      <c r="BZ530" s="2367"/>
      <c r="CA530" s="2365"/>
      <c r="CB530" s="2367"/>
      <c r="CC530" s="2368"/>
      <c r="CD530" s="2369"/>
      <c r="CE530" s="2368"/>
      <c r="CF530" s="2369"/>
      <c r="CG530" s="16"/>
      <c r="CH530" s="16"/>
      <c r="CI530" s="16"/>
      <c r="CJ530" s="16"/>
    </row>
    <row r="531" spans="1:101" s="46" customFormat="1" ht="12.75" hidden="1" customHeight="1">
      <c r="A531" s="28"/>
      <c r="C531" s="1249"/>
      <c r="D531" s="153"/>
      <c r="E531" s="225"/>
      <c r="F531" s="1978" t="s">
        <v>136</v>
      </c>
      <c r="G531" s="1978"/>
      <c r="H531" s="1978"/>
      <c r="I531" s="1978"/>
      <c r="J531" s="1978"/>
      <c r="K531" s="1978"/>
      <c r="L531" s="1978"/>
      <c r="M531" s="1978"/>
      <c r="N531" s="1978"/>
      <c r="O531" s="1978"/>
      <c r="P531" s="1978"/>
      <c r="Q531" s="1978"/>
      <c r="R531" s="1978"/>
      <c r="S531" s="1978"/>
      <c r="T531" s="1978"/>
      <c r="U531" s="1978"/>
      <c r="V531" s="1978"/>
      <c r="W531" s="1978"/>
      <c r="X531" s="1978"/>
      <c r="Y531" s="1978"/>
      <c r="Z531" s="1978"/>
      <c r="AA531" s="1978"/>
      <c r="AB531" s="1978"/>
      <c r="AC531" s="1978"/>
      <c r="AD531" s="1978"/>
      <c r="AE531" s="1978"/>
      <c r="AF531" s="1978"/>
      <c r="AG531" s="27"/>
      <c r="AH531" s="27"/>
      <c r="AI531" s="27"/>
      <c r="AJ531" s="27"/>
      <c r="AK531" s="1195"/>
      <c r="AL531" s="162"/>
      <c r="AN531" s="439"/>
      <c r="BM531" s="2368"/>
      <c r="BN531" s="2369"/>
      <c r="BO531" s="2368"/>
      <c r="BP531" s="2369"/>
      <c r="BQ531" s="2365"/>
      <c r="BR531" s="2367"/>
      <c r="BS531" s="2365"/>
      <c r="BT531" s="2367"/>
      <c r="BU531" s="2368"/>
      <c r="BV531" s="2369"/>
      <c r="BW531" s="2368"/>
      <c r="BX531" s="2369"/>
      <c r="BY531" s="2491">
        <f>IF(T611&gt;0,1,0)</f>
        <v>1</v>
      </c>
      <c r="BZ531" s="2493"/>
      <c r="CA531" s="2491">
        <f>IF(Y611&gt;=0.1,1,0)</f>
        <v>1</v>
      </c>
      <c r="CB531" s="2493"/>
      <c r="CC531" s="2368"/>
      <c r="CD531" s="2369"/>
      <c r="CE531" s="2368"/>
      <c r="CF531" s="2369"/>
      <c r="CG531" s="16"/>
      <c r="CH531" s="16"/>
      <c r="CI531" s="16"/>
      <c r="CJ531" s="16"/>
      <c r="CW531" s="16"/>
    </row>
    <row r="532" spans="1:101" s="46" customFormat="1" ht="12.75" hidden="1" customHeight="1">
      <c r="A532" s="28"/>
      <c r="C532" s="1250"/>
      <c r="D532" s="1205"/>
      <c r="E532" s="1225"/>
      <c r="F532" s="2571"/>
      <c r="G532" s="2571"/>
      <c r="H532" s="2571"/>
      <c r="I532" s="2571"/>
      <c r="J532" s="2571"/>
      <c r="K532" s="2571"/>
      <c r="L532" s="2571"/>
      <c r="M532" s="2571"/>
      <c r="N532" s="2571"/>
      <c r="O532" s="2571"/>
      <c r="P532" s="2571"/>
      <c r="Q532" s="2571"/>
      <c r="R532" s="2571"/>
      <c r="S532" s="2571"/>
      <c r="T532" s="2571"/>
      <c r="U532" s="2571"/>
      <c r="V532" s="2571"/>
      <c r="W532" s="2571"/>
      <c r="X532" s="2571"/>
      <c r="Y532" s="2571"/>
      <c r="Z532" s="2571"/>
      <c r="AA532" s="2571"/>
      <c r="AB532" s="2571"/>
      <c r="AC532" s="2571"/>
      <c r="AD532" s="2571"/>
      <c r="AE532" s="2571"/>
      <c r="AF532" s="2571"/>
      <c r="AG532" s="1227"/>
      <c r="AH532" s="1227"/>
      <c r="AI532" s="1227"/>
      <c r="AJ532" s="1227"/>
      <c r="AK532" s="1206"/>
      <c r="AL532" s="162"/>
      <c r="AN532" s="439"/>
      <c r="BM532" s="2368"/>
      <c r="BN532" s="2369"/>
      <c r="BO532" s="2368"/>
      <c r="BP532" s="2369"/>
      <c r="BQ532" s="2365"/>
      <c r="BR532" s="2367"/>
      <c r="BS532" s="2365"/>
      <c r="BT532" s="2367"/>
      <c r="BU532" s="2368"/>
      <c r="BV532" s="2369"/>
      <c r="BW532" s="2368"/>
      <c r="BX532" s="2369"/>
      <c r="BY532" s="2365"/>
      <c r="BZ532" s="2367"/>
      <c r="CA532" s="2365"/>
      <c r="CB532" s="2367"/>
      <c r="CC532" s="2368">
        <f>IF(T612&gt;0,1,0)</f>
        <v>1</v>
      </c>
      <c r="CD532" s="2369"/>
      <c r="CE532" s="2368">
        <f>IF(Y612&gt;=0.1,1,0)</f>
        <v>1</v>
      </c>
      <c r="CF532" s="2369"/>
      <c r="CG532" s="16"/>
      <c r="CH532" s="16"/>
      <c r="CI532" s="16"/>
      <c r="CJ532" s="16"/>
    </row>
    <row r="533" spans="1:101" s="46" customFormat="1" ht="12.75" hidden="1" customHeight="1">
      <c r="A533" s="57"/>
      <c r="C533" s="27"/>
      <c r="E533" s="27"/>
      <c r="F533" s="893"/>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173"/>
      <c r="AE533" s="27"/>
      <c r="AF533" s="27"/>
      <c r="AG533" s="27"/>
      <c r="AH533" s="27"/>
      <c r="AI533" s="153"/>
      <c r="AK533" s="153"/>
      <c r="AL533" s="153"/>
      <c r="AM533" s="153"/>
      <c r="AN533" s="439"/>
      <c r="BM533" s="2368">
        <f>SUM(BM528:BN532)</f>
        <v>0</v>
      </c>
      <c r="BN533" s="2369"/>
      <c r="BO533" s="2368">
        <f>SUM(BO528:BP532)</f>
        <v>0</v>
      </c>
      <c r="BP533" s="2369"/>
      <c r="BQ533" s="2368">
        <f>SUM(BQ528:BR532)</f>
        <v>1</v>
      </c>
      <c r="BR533" s="2369"/>
      <c r="BS533" s="2368">
        <f>SUM(BS528:BT532)</f>
        <v>1</v>
      </c>
      <c r="BT533" s="2369"/>
      <c r="BU533" s="2368">
        <f>SUM(BU528:BV532)</f>
        <v>1</v>
      </c>
      <c r="BV533" s="2369"/>
      <c r="BW533" s="2368">
        <f>SUM(BW528:BX532)</f>
        <v>1</v>
      </c>
      <c r="BX533" s="2369"/>
      <c r="BY533" s="2368">
        <f>SUM(BY528:BZ532)</f>
        <v>1</v>
      </c>
      <c r="BZ533" s="2369"/>
      <c r="CA533" s="2368">
        <f>SUM(CA528:CB532)</f>
        <v>1</v>
      </c>
      <c r="CB533" s="2369"/>
      <c r="CC533" s="2368">
        <f>SUM(CC528:CD532)</f>
        <v>1</v>
      </c>
      <c r="CD533" s="2369"/>
      <c r="CE533" s="2368">
        <f>SUM(CE528:CF532)</f>
        <v>1</v>
      </c>
      <c r="CF533" s="2369"/>
      <c r="CG533" s="16"/>
      <c r="CH533" s="16"/>
      <c r="CI533" s="16"/>
      <c r="CJ533" s="16"/>
    </row>
    <row r="534" spans="1:101" s="46" customFormat="1" ht="12.75" hidden="1" customHeight="1">
      <c r="A534" s="57"/>
      <c r="B534" s="45" t="s">
        <v>1483</v>
      </c>
      <c r="C534" s="27"/>
      <c r="E534" s="27"/>
      <c r="F534" s="27"/>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173"/>
      <c r="AE534" s="27"/>
      <c r="AF534" s="27"/>
      <c r="AG534" s="27"/>
      <c r="AH534" s="27"/>
      <c r="AI534" s="153"/>
      <c r="AK534" s="153"/>
      <c r="AL534" s="153"/>
      <c r="AM534" s="153"/>
      <c r="AN534" s="439"/>
      <c r="AP534" s="2384" t="s">
        <v>504</v>
      </c>
      <c r="AQ534" s="2385"/>
      <c r="AR534" s="2385"/>
      <c r="AS534" s="2385"/>
      <c r="AT534" s="2386"/>
      <c r="AU534" s="2384" t="s">
        <v>505</v>
      </c>
      <c r="AV534" s="2385"/>
      <c r="AW534" s="2385"/>
      <c r="AX534" s="2385"/>
      <c r="AY534" s="2386"/>
      <c r="BM534" s="2365">
        <f>SUM(BM533:BP533)</f>
        <v>0</v>
      </c>
      <c r="BN534" s="2366"/>
      <c r="BO534" s="2366"/>
      <c r="BP534" s="2367"/>
      <c r="BQ534" s="2365">
        <f>SUM(BQ533:BT533)</f>
        <v>2</v>
      </c>
      <c r="BR534" s="2366"/>
      <c r="BS534" s="2366"/>
      <c r="BT534" s="2367"/>
      <c r="BU534" s="2365">
        <f>SUM(BU533:BX533)</f>
        <v>2</v>
      </c>
      <c r="BV534" s="2366"/>
      <c r="BW534" s="2366"/>
      <c r="BX534" s="2367"/>
      <c r="BY534" s="2365">
        <f>SUM(BY533:CB533)</f>
        <v>2</v>
      </c>
      <c r="BZ534" s="2366"/>
      <c r="CA534" s="2366"/>
      <c r="CB534" s="2367"/>
      <c r="CC534" s="2365">
        <f>SUM(CC533:CF533)</f>
        <v>2</v>
      </c>
      <c r="CD534" s="2366"/>
      <c r="CE534" s="2366"/>
      <c r="CF534" s="2367"/>
      <c r="CG534" s="16"/>
      <c r="CH534" s="16"/>
      <c r="CI534" s="16"/>
      <c r="CJ534" s="16"/>
    </row>
    <row r="535" spans="1:101" s="46" customFormat="1" ht="12.75" hidden="1" customHeight="1">
      <c r="A535" s="57"/>
      <c r="B535" s="45" t="s">
        <v>1484</v>
      </c>
      <c r="C535" s="27"/>
      <c r="E535" s="27"/>
      <c r="F535" s="27"/>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173"/>
      <c r="AE535" s="27"/>
      <c r="AF535" s="27"/>
      <c r="AG535" s="27"/>
      <c r="AH535" s="27"/>
      <c r="AI535" s="153"/>
      <c r="AK535" s="153"/>
      <c r="AL535" s="153"/>
      <c r="AM535" s="153"/>
      <c r="AN535" s="439"/>
      <c r="AP535" s="2362">
        <f>RANK(T608,$T$608:$X$612,0)+COUNTIF($T$608:$X$612,T608)-1</f>
        <v>5</v>
      </c>
      <c r="AQ535" s="2363"/>
      <c r="AR535" s="2363"/>
      <c r="AS535" s="2363"/>
      <c r="AT535" s="2364"/>
      <c r="AU535" s="2362">
        <f>RANK(Y608,$Y$608:$AC$612,0)+COUNTIF($Y$608:$AC$612,Y608)-1</f>
        <v>5</v>
      </c>
      <c r="AV535" s="2363"/>
      <c r="AW535" s="2363"/>
      <c r="AX535" s="2363"/>
      <c r="AY535" s="2364"/>
      <c r="BM535" s="2365"/>
      <c r="BN535" s="2366"/>
      <c r="BO535" s="2366"/>
      <c r="BP535" s="2367"/>
      <c r="BQ535" s="2365">
        <f>IF(AND(BQ534=2,BM534=1),1,0)</f>
        <v>0</v>
      </c>
      <c r="BR535" s="2366"/>
      <c r="BS535" s="2366"/>
      <c r="BT535" s="2367"/>
      <c r="BU535" s="2365">
        <f>IF(AND(BU534=2,BQ534=1),1,0)</f>
        <v>0</v>
      </c>
      <c r="BV535" s="2366"/>
      <c r="BW535" s="2366"/>
      <c r="BX535" s="2367"/>
      <c r="BY535" s="2365">
        <f>IF(AND(BY534=2,BU534=1),1,0)</f>
        <v>0</v>
      </c>
      <c r="BZ535" s="2366"/>
      <c r="CA535" s="2366"/>
      <c r="CB535" s="2367"/>
      <c r="CC535" s="2365">
        <f>IF(AND(CC534=2,BU534=1),1,0)</f>
        <v>0</v>
      </c>
      <c r="CD535" s="2366"/>
      <c r="CE535" s="2366"/>
      <c r="CF535" s="2367"/>
      <c r="CG535" s="16"/>
      <c r="CH535" s="16"/>
      <c r="CI535" s="16"/>
      <c r="CJ535" s="16"/>
    </row>
    <row r="536" spans="1:101" s="46" customFormat="1" ht="12.75" hidden="1" customHeight="1">
      <c r="A536" s="57"/>
      <c r="B536" s="46" t="s">
        <v>1485</v>
      </c>
      <c r="C536" s="27"/>
      <c r="E536" s="27"/>
      <c r="F536" s="27"/>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173"/>
      <c r="AE536" s="27"/>
      <c r="AF536" s="27"/>
      <c r="AG536" s="27"/>
      <c r="AH536" s="27"/>
      <c r="AI536" s="153"/>
      <c r="AK536" s="153"/>
      <c r="AL536" s="153"/>
      <c r="AM536" s="153"/>
      <c r="AN536" s="439"/>
      <c r="AP536" s="2362">
        <f>RANK(T609,$T$608:$X$612,0)+COUNTIF($T$608:$X$612,T609)-1</f>
        <v>4</v>
      </c>
      <c r="AQ536" s="2363"/>
      <c r="AR536" s="2363"/>
      <c r="AS536" s="2363"/>
      <c r="AT536" s="2364"/>
      <c r="AU536" s="2362">
        <f>RANK(Y609,$Y$608:$AC$612,0)+COUNTIF($Y$608:$AC$612,Y609)-1</f>
        <v>3</v>
      </c>
      <c r="AV536" s="2363"/>
      <c r="AW536" s="2363"/>
      <c r="AX536" s="2363"/>
      <c r="AY536" s="2364"/>
      <c r="BM536" s="2365"/>
      <c r="BN536" s="2366"/>
      <c r="BO536" s="2366"/>
      <c r="BP536" s="2367"/>
      <c r="BQ536" s="2365"/>
      <c r="BR536" s="2366"/>
      <c r="BS536" s="2366"/>
      <c r="BT536" s="2367"/>
      <c r="BU536" s="2365">
        <f>IF(AND(BU534=2,BM534=1),1,0)</f>
        <v>0</v>
      </c>
      <c r="BV536" s="2366"/>
      <c r="BW536" s="2366"/>
      <c r="BX536" s="2367"/>
      <c r="BY536" s="2365">
        <f>IF(AND(BY534=2,BQ534=1),1,0)</f>
        <v>0</v>
      </c>
      <c r="BZ536" s="2366"/>
      <c r="CA536" s="2366"/>
      <c r="CB536" s="2367"/>
      <c r="CC536" s="2365">
        <f>IF(AND(CC535=2,BY535=1),1,0)</f>
        <v>0</v>
      </c>
      <c r="CD536" s="2366"/>
      <c r="CE536" s="2366"/>
      <c r="CF536" s="2367"/>
      <c r="CG536" s="16"/>
      <c r="CH536" s="16"/>
      <c r="CI536" s="16"/>
      <c r="CJ536" s="16"/>
    </row>
    <row r="537" spans="1:101" s="46" customFormat="1" ht="12.75" hidden="1" customHeight="1">
      <c r="A537" s="57"/>
      <c r="B537" s="46" t="s">
        <v>1677</v>
      </c>
      <c r="C537" s="27"/>
      <c r="E537" s="27"/>
      <c r="F537" s="27"/>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173"/>
      <c r="AE537" s="27"/>
      <c r="AF537" s="27"/>
      <c r="AG537" s="27"/>
      <c r="AH537" s="27"/>
      <c r="AI537" s="153"/>
      <c r="AK537" s="153"/>
      <c r="AL537" s="153"/>
      <c r="AM537" s="153"/>
      <c r="AN537" s="439"/>
      <c r="AP537" s="2362">
        <f>RANK(T610,$T$608:$X$612,0)+COUNTIF($T$608:$X$612,T610)-1</f>
        <v>4</v>
      </c>
      <c r="AQ537" s="2363"/>
      <c r="AR537" s="2363"/>
      <c r="AS537" s="2363"/>
      <c r="AT537" s="2364"/>
      <c r="AU537" s="2362">
        <f>RANK(Y610,$Y$608:$AC$612,0)+COUNTIF($Y$608:$AC$612,Y610)-1</f>
        <v>4</v>
      </c>
      <c r="AV537" s="2363"/>
      <c r="AW537" s="2363"/>
      <c r="AX537" s="2363"/>
      <c r="AY537" s="2364"/>
      <c r="BM537" s="2365"/>
      <c r="BN537" s="2366"/>
      <c r="BO537" s="2366"/>
      <c r="BP537" s="2367"/>
      <c r="BQ537" s="2365"/>
      <c r="BR537" s="2366"/>
      <c r="BS537" s="2366"/>
      <c r="BT537" s="2367"/>
      <c r="BU537" s="2365"/>
      <c r="BV537" s="2366"/>
      <c r="BW537" s="2366"/>
      <c r="BX537" s="2367"/>
      <c r="BY537" s="2365">
        <f>IF(AND(BY534=2,BM534=1),1,0)</f>
        <v>0</v>
      </c>
      <c r="BZ537" s="2366"/>
      <c r="CA537" s="2366"/>
      <c r="CB537" s="2367"/>
      <c r="CC537" s="2365">
        <f>IF(AND(CC534=2,BQ534=1),1,0)</f>
        <v>0</v>
      </c>
      <c r="CD537" s="2366"/>
      <c r="CE537" s="2366"/>
      <c r="CF537" s="2367"/>
      <c r="CG537" s="16"/>
      <c r="CH537" s="16"/>
      <c r="CI537" s="16"/>
      <c r="CJ537" s="16"/>
    </row>
    <row r="538" spans="1:101" s="46" customFormat="1" ht="12.75" hidden="1" customHeight="1">
      <c r="A538" s="57"/>
      <c r="B538" s="46" t="s">
        <v>1486</v>
      </c>
      <c r="C538" s="27"/>
      <c r="E538" s="27"/>
      <c r="F538" s="27"/>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173"/>
      <c r="AE538" s="27"/>
      <c r="AF538" s="27"/>
      <c r="AG538" s="27"/>
      <c r="AH538" s="27"/>
      <c r="AI538" s="153"/>
      <c r="AK538" s="153"/>
      <c r="AL538" s="153"/>
      <c r="AM538" s="153"/>
      <c r="AN538" s="439"/>
      <c r="AP538" s="2362">
        <f>RANK(T611,$T$608:$X$612,0)+COUNTIF($T$608:$X$612,T611)-1</f>
        <v>2</v>
      </c>
      <c r="AQ538" s="2363"/>
      <c r="AR538" s="2363"/>
      <c r="AS538" s="2363"/>
      <c r="AT538" s="2364"/>
      <c r="AU538" s="2362">
        <f>RANK(Y611,$Y$608:$AC$612,0)+COUNTIF($Y$608:$AC$612,Y611)-1</f>
        <v>2</v>
      </c>
      <c r="AV538" s="2363"/>
      <c r="AW538" s="2363"/>
      <c r="AX538" s="2363"/>
      <c r="AY538" s="2364"/>
      <c r="BM538" s="2365"/>
      <c r="BN538" s="2366"/>
      <c r="BO538" s="2366"/>
      <c r="BP538" s="2367"/>
      <c r="BQ538" s="2365"/>
      <c r="BR538" s="2366"/>
      <c r="BS538" s="2366"/>
      <c r="BT538" s="2367"/>
      <c r="BU538" s="2365"/>
      <c r="BV538" s="2366"/>
      <c r="BW538" s="2366"/>
      <c r="BX538" s="2367"/>
      <c r="BY538" s="2365"/>
      <c r="BZ538" s="2366"/>
      <c r="CA538" s="2366"/>
      <c r="CB538" s="2367"/>
      <c r="CC538" s="2365">
        <f>IF(AND(CC534=2,BM534=1),1,0)</f>
        <v>0</v>
      </c>
      <c r="CD538" s="2366"/>
      <c r="CE538" s="2366"/>
      <c r="CF538" s="2367"/>
      <c r="CG538" s="16"/>
      <c r="CH538" s="16"/>
      <c r="CI538" s="16"/>
      <c r="CJ538" s="16"/>
    </row>
    <row r="539" spans="1:101" s="46" customFormat="1" ht="12.75" hidden="1" customHeight="1">
      <c r="A539" s="57"/>
      <c r="B539" s="46" t="s">
        <v>1678</v>
      </c>
      <c r="C539" s="27"/>
      <c r="E539" s="27"/>
      <c r="F539" s="27"/>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173"/>
      <c r="AE539" s="27"/>
      <c r="AF539" s="27"/>
      <c r="AG539" s="27"/>
      <c r="AH539" s="27"/>
      <c r="AI539" s="153"/>
      <c r="AK539" s="153"/>
      <c r="AL539" s="153"/>
      <c r="AM539" s="153"/>
      <c r="AN539" s="439"/>
      <c r="AP539" s="2362">
        <f>RANK(T612,$T$608:$X$612,0)+COUNTIF($T$608:$X$612,T612)-1</f>
        <v>1</v>
      </c>
      <c r="AQ539" s="2363"/>
      <c r="AR539" s="2363"/>
      <c r="AS539" s="2363"/>
      <c r="AT539" s="2364"/>
      <c r="AU539" s="2362">
        <f>RANK(Y612,$Y$608:$AC$612,0)+COUNTIF($Y$608:$AC$612,Y612)-1</f>
        <v>1</v>
      </c>
      <c r="AV539" s="2363"/>
      <c r="AW539" s="2363"/>
      <c r="AX539" s="2363"/>
      <c r="AY539" s="2364"/>
      <c r="BM539" s="2365">
        <f>SUM(BM535:BP538)</f>
        <v>0</v>
      </c>
      <c r="BN539" s="2366"/>
      <c r="BO539" s="2366"/>
      <c r="BP539" s="2367"/>
      <c r="BQ539" s="2365">
        <f>SUM(BQ535:BT538)</f>
        <v>0</v>
      </c>
      <c r="BR539" s="2366"/>
      <c r="BS539" s="2366"/>
      <c r="BT539" s="2367"/>
      <c r="BU539" s="2365">
        <f>SUM(BU535:BX538)</f>
        <v>0</v>
      </c>
      <c r="BV539" s="2366"/>
      <c r="BW539" s="2366"/>
      <c r="BX539" s="2367"/>
      <c r="BY539" s="2365">
        <f>SUM(BY535:CB538)</f>
        <v>0</v>
      </c>
      <c r="BZ539" s="2366"/>
      <c r="CA539" s="2366"/>
      <c r="CB539" s="2367"/>
      <c r="CC539" s="2365">
        <f>SUM(CC535:CF538)</f>
        <v>0</v>
      </c>
      <c r="CD539" s="2366"/>
      <c r="CE539" s="2366"/>
      <c r="CF539" s="2367"/>
      <c r="CG539" s="2365">
        <f>SUM(BM539:CF539)</f>
        <v>0</v>
      </c>
      <c r="CH539" s="2366"/>
      <c r="CI539" s="2366"/>
      <c r="CJ539" s="2367"/>
    </row>
    <row r="540" spans="1:101" s="46" customFormat="1" ht="12.75" hidden="1" customHeight="1">
      <c r="A540" s="57"/>
      <c r="B540" s="46" t="s">
        <v>1679</v>
      </c>
      <c r="C540" s="27"/>
      <c r="E540" s="27"/>
      <c r="F540" s="27"/>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173"/>
      <c r="AE540" s="27"/>
      <c r="AF540" s="27"/>
      <c r="AG540" s="27"/>
      <c r="AH540" s="27"/>
      <c r="AI540" s="153"/>
      <c r="AK540" s="153"/>
      <c r="AL540" s="153"/>
      <c r="AM540" s="153"/>
      <c r="AN540" s="439"/>
    </row>
    <row r="541" spans="1:101" s="46" customFormat="1" ht="12.75" hidden="1" customHeight="1">
      <c r="A541" s="437"/>
      <c r="C541" s="27"/>
      <c r="E541" s="27"/>
      <c r="F541" s="27"/>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173"/>
      <c r="AE541" s="27"/>
      <c r="AF541" s="27"/>
      <c r="AG541" s="27"/>
      <c r="AH541" s="27"/>
      <c r="AI541" s="153"/>
      <c r="AK541" s="153"/>
      <c r="AL541" s="153"/>
      <c r="AM541" s="153"/>
      <c r="AN541" s="439"/>
    </row>
    <row r="542" spans="1:101" s="46" customFormat="1" ht="12.75" hidden="1" customHeight="1">
      <c r="A542" s="191"/>
      <c r="B542" s="201"/>
      <c r="C542" s="201"/>
      <c r="D542" s="201"/>
      <c r="E542" s="201"/>
      <c r="F542" s="201"/>
      <c r="G542" s="201"/>
      <c r="H542" s="201"/>
      <c r="I542" s="201"/>
      <c r="J542" s="201"/>
      <c r="K542" s="201"/>
      <c r="L542" s="201"/>
      <c r="M542" s="201"/>
      <c r="N542" s="201"/>
      <c r="O542" s="201"/>
      <c r="P542" s="201"/>
      <c r="Q542" s="201"/>
      <c r="R542" s="201"/>
      <c r="S542" s="201"/>
      <c r="T542" s="201"/>
      <c r="U542" s="201"/>
      <c r="V542" s="201"/>
      <c r="W542" s="201"/>
      <c r="X542" s="201"/>
      <c r="Y542" s="201"/>
      <c r="Z542" s="201"/>
      <c r="AA542" s="201"/>
      <c r="AB542" s="201"/>
      <c r="AC542" s="219"/>
      <c r="AD542" s="201"/>
      <c r="AE542" s="201"/>
      <c r="AF542" s="201"/>
      <c r="AG542" s="201"/>
      <c r="AH542" s="157"/>
      <c r="AI542" s="139"/>
      <c r="AJ542" s="1299" t="s">
        <v>196</v>
      </c>
      <c r="AK542" s="2373">
        <f>SUM(AG486:AG531)</f>
        <v>0</v>
      </c>
      <c r="AL542" s="2456"/>
      <c r="AM542" s="2374"/>
      <c r="AN542" s="439"/>
      <c r="AP542" s="227" t="s">
        <v>680</v>
      </c>
      <c r="AQ542" s="228"/>
      <c r="AR542" s="228"/>
      <c r="AS542" s="228"/>
      <c r="AT542" s="228"/>
      <c r="AU542" s="228"/>
      <c r="AV542" s="228"/>
      <c r="AW542" s="228"/>
      <c r="AX542" s="228"/>
      <c r="AY542" s="228"/>
      <c r="AZ542" s="229"/>
      <c r="CH542" s="142" t="s">
        <v>1251</v>
      </c>
      <c r="CK542" s="147"/>
    </row>
    <row r="543" spans="1:101" s="46" customFormat="1" ht="12.75" hidden="1" customHeight="1" thickBot="1">
      <c r="A543" s="224"/>
      <c r="B543" s="224"/>
      <c r="C543" s="224"/>
      <c r="D543" s="224"/>
      <c r="E543" s="224"/>
      <c r="F543" s="224"/>
      <c r="G543" s="224"/>
      <c r="H543" s="224"/>
      <c r="I543" s="224"/>
      <c r="J543" s="224"/>
      <c r="K543" s="224"/>
      <c r="L543" s="224"/>
      <c r="M543" s="224"/>
      <c r="N543" s="224"/>
      <c r="O543" s="224"/>
      <c r="P543" s="224"/>
      <c r="Q543" s="224"/>
      <c r="R543" s="224"/>
      <c r="S543" s="224"/>
      <c r="T543" s="224"/>
      <c r="U543" s="224"/>
      <c r="V543" s="224"/>
      <c r="W543" s="224"/>
      <c r="X543" s="224"/>
      <c r="Y543" s="224"/>
      <c r="Z543" s="224"/>
      <c r="AA543" s="224"/>
      <c r="AB543" s="224"/>
      <c r="AC543" s="224"/>
      <c r="AD543" s="224"/>
      <c r="AE543" s="224"/>
      <c r="AF543" s="224"/>
      <c r="AG543" s="224"/>
      <c r="AH543" s="224"/>
      <c r="AI543" s="224"/>
      <c r="AJ543" s="224"/>
      <c r="AK543" s="224"/>
      <c r="AL543" s="224"/>
      <c r="AM543" s="224"/>
      <c r="AN543" s="439"/>
      <c r="AP543" s="230" t="s">
        <v>678</v>
      </c>
      <c r="AQ543" s="231"/>
      <c r="AR543" s="231"/>
      <c r="AS543" s="231"/>
      <c r="AT543" s="231"/>
      <c r="AU543" s="231"/>
      <c r="AV543" s="231"/>
      <c r="AW543" s="231"/>
      <c r="AX543" s="231"/>
      <c r="AY543" s="2368">
        <f>SUM(O608:S612)</f>
        <v>40</v>
      </c>
      <c r="AZ543" s="2369"/>
      <c r="CG543" s="35"/>
      <c r="CH543" s="2508" t="s">
        <v>848</v>
      </c>
      <c r="CI543" s="1818"/>
      <c r="CJ543" s="1818"/>
      <c r="CK543" s="1819"/>
    </row>
    <row r="544" spans="1:101" s="46" customFormat="1" ht="12.75" customHeight="1" thickTop="1">
      <c r="B544" s="294"/>
      <c r="C544" s="295"/>
      <c r="D544" s="295"/>
      <c r="E544" s="295"/>
      <c r="F544" s="295"/>
      <c r="G544" s="295"/>
      <c r="H544" s="295"/>
      <c r="I544" s="174"/>
      <c r="J544" s="174"/>
      <c r="K544" s="174"/>
      <c r="L544" s="174"/>
      <c r="M544" s="174"/>
      <c r="N544" s="174"/>
      <c r="O544" s="174"/>
      <c r="P544" s="174"/>
      <c r="Q544" s="174"/>
      <c r="R544" s="65"/>
      <c r="S544" s="63"/>
      <c r="T544" s="63"/>
      <c r="U544" s="63"/>
      <c r="V544" s="63"/>
      <c r="W544" s="63"/>
      <c r="X544" s="63"/>
      <c r="Y544" s="63"/>
      <c r="Z544" s="63"/>
      <c r="AA544" s="63"/>
      <c r="AB544" s="63"/>
      <c r="AC544" s="63"/>
      <c r="AD544" s="63"/>
      <c r="AE544" s="63"/>
      <c r="AF544" s="65"/>
      <c r="AG544" s="63"/>
      <c r="AH544" s="63"/>
      <c r="AI544" s="63"/>
      <c r="AJ544" s="63"/>
      <c r="AM544" s="65"/>
      <c r="AN544" s="439"/>
      <c r="AP544" s="232" t="s">
        <v>672</v>
      </c>
      <c r="AQ544" s="233"/>
      <c r="AR544" s="233"/>
      <c r="AS544" s="2368" t="str">
        <f>IF(AY543=BK570,"passed","failed")</f>
        <v>passed</v>
      </c>
      <c r="AT544" s="2370"/>
      <c r="AU544" s="2369"/>
      <c r="AV544" s="233"/>
      <c r="AW544" s="233"/>
      <c r="AX544" s="233"/>
      <c r="AY544" s="233"/>
      <c r="AZ544" s="234"/>
      <c r="CG544" s="35"/>
      <c r="CH544" s="1820"/>
      <c r="CI544" s="1821"/>
      <c r="CJ544" s="1821"/>
      <c r="CK544" s="1822"/>
    </row>
    <row r="545" spans="1:89" s="46" customFormat="1" ht="12.75" customHeight="1">
      <c r="A545" s="152" t="s">
        <v>2233</v>
      </c>
      <c r="B545" s="65"/>
      <c r="C545" s="63"/>
      <c r="D545" s="65"/>
      <c r="E545" s="65"/>
      <c r="F545" s="65"/>
      <c r="G545" s="65"/>
      <c r="H545" s="65"/>
      <c r="I545" s="65"/>
      <c r="J545" s="65"/>
      <c r="K545" s="65"/>
      <c r="L545" s="65"/>
      <c r="M545" s="65"/>
      <c r="N545" s="65"/>
      <c r="O545" s="65"/>
      <c r="P545" s="65"/>
      <c r="Q545" s="65"/>
      <c r="R545" s="65"/>
      <c r="S545" s="65"/>
      <c r="T545" s="65"/>
      <c r="U545" s="65"/>
      <c r="V545" s="65"/>
      <c r="W545" s="65"/>
      <c r="X545" s="65"/>
      <c r="Y545" s="65"/>
      <c r="Z545" s="65"/>
      <c r="AA545" s="65"/>
      <c r="AB545" s="65"/>
      <c r="AE545" s="2352" t="s">
        <v>409</v>
      </c>
      <c r="AF545" s="2352"/>
      <c r="AG545" s="2352"/>
      <c r="AH545" s="2352"/>
      <c r="AI545" s="2352"/>
      <c r="AJ545" s="2352"/>
      <c r="AK545" s="2352"/>
      <c r="AL545" s="1301"/>
      <c r="AM545" s="65"/>
      <c r="AN545" s="439"/>
      <c r="BE545" s="16"/>
      <c r="BF545" s="35"/>
      <c r="BG545" s="16"/>
      <c r="BH545" s="16"/>
      <c r="BI545" s="16"/>
      <c r="BJ545" s="16"/>
      <c r="BK545" s="16"/>
      <c r="BL545" s="16"/>
      <c r="BM545" s="16"/>
      <c r="BN545" s="16"/>
      <c r="BO545" s="16"/>
      <c r="BP545" s="16"/>
      <c r="BQ545" s="16"/>
      <c r="BR545" s="147" t="s">
        <v>1251</v>
      </c>
      <c r="BS545" s="16"/>
      <c r="BT545" s="16"/>
      <c r="BU545" s="16"/>
      <c r="BV545" s="16"/>
      <c r="BW545" s="16"/>
      <c r="BX545" s="16"/>
      <c r="BY545" s="16"/>
      <c r="BZ545" s="16"/>
      <c r="CA545" s="16"/>
      <c r="CB545" s="16"/>
      <c r="CC545" s="16"/>
      <c r="CG545" s="35"/>
      <c r="CH545" s="1820"/>
      <c r="CI545" s="1821"/>
      <c r="CJ545" s="1821"/>
      <c r="CK545" s="1822"/>
    </row>
    <row r="546" spans="1:89" s="46" customFormat="1" ht="12.75" customHeight="1">
      <c r="B546" s="207" t="s">
        <v>2234</v>
      </c>
      <c r="C546" s="63"/>
      <c r="D546" s="65"/>
      <c r="E546" s="65"/>
      <c r="F546" s="65"/>
      <c r="G546" s="65"/>
      <c r="H546" s="65"/>
      <c r="I546" s="65"/>
      <c r="J546" s="65"/>
      <c r="K546" s="65"/>
      <c r="L546" s="65"/>
      <c r="M546" s="65"/>
      <c r="N546" s="65"/>
      <c r="O546" s="65"/>
      <c r="P546" s="65"/>
      <c r="Q546" s="65"/>
      <c r="R546" s="65"/>
      <c r="S546" s="65"/>
      <c r="T546" s="65"/>
      <c r="U546" s="65"/>
      <c r="V546" s="65"/>
      <c r="W546" s="65"/>
      <c r="X546" s="65"/>
      <c r="Y546" s="65"/>
      <c r="Z546" s="65"/>
      <c r="AA546" s="65"/>
      <c r="AB546" s="65"/>
      <c r="AE546" s="26"/>
      <c r="AF546" s="26"/>
      <c r="AG546" s="2378" t="s">
        <v>199</v>
      </c>
      <c r="AH546" s="2378"/>
      <c r="AI546" s="2378"/>
      <c r="AJ546" s="2378"/>
      <c r="AK546" s="26"/>
      <c r="AL546" s="1301"/>
      <c r="AM546" s="65"/>
      <c r="AN546" s="439"/>
      <c r="BE546" s="2365" t="s">
        <v>249</v>
      </c>
      <c r="BF546" s="2366"/>
      <c r="BG546" s="2366"/>
      <c r="BH546" s="2367"/>
      <c r="BI546" s="2365" t="s">
        <v>783</v>
      </c>
      <c r="BJ546" s="2366"/>
      <c r="BK546" s="2366"/>
      <c r="BL546" s="2367"/>
      <c r="BM546" s="2365" t="s">
        <v>784</v>
      </c>
      <c r="BN546" s="2366"/>
      <c r="BO546" s="2366"/>
      <c r="BP546" s="2367"/>
      <c r="BQ546" s="2365" t="s">
        <v>785</v>
      </c>
      <c r="BR546" s="2366"/>
      <c r="BS546" s="2366"/>
      <c r="BT546" s="2367"/>
      <c r="BU546" s="2365" t="s">
        <v>786</v>
      </c>
      <c r="BV546" s="2366"/>
      <c r="BW546" s="2366"/>
      <c r="BX546" s="2367"/>
      <c r="BY546" s="2365" t="s">
        <v>250</v>
      </c>
      <c r="BZ546" s="2366"/>
      <c r="CA546" s="2366"/>
      <c r="CB546" s="2367"/>
      <c r="CC546" s="16"/>
      <c r="CG546" s="16"/>
      <c r="CH546" s="1820"/>
      <c r="CI546" s="1821"/>
      <c r="CJ546" s="1821"/>
      <c r="CK546" s="1822"/>
    </row>
    <row r="547" spans="1:89" s="46" customFormat="1" ht="12.75" customHeight="1">
      <c r="A547" s="152"/>
      <c r="B547" s="2336" t="s">
        <v>1940</v>
      </c>
      <c r="C547" s="2336"/>
      <c r="D547" s="2336"/>
      <c r="E547" s="2336"/>
      <c r="F547" s="2336"/>
      <c r="G547" s="2336"/>
      <c r="H547" s="2336"/>
      <c r="I547" s="2336"/>
      <c r="J547" s="2336"/>
      <c r="K547" s="2336"/>
      <c r="L547" s="2336"/>
      <c r="M547" s="2336"/>
      <c r="N547" s="2336"/>
      <c r="O547" s="2336"/>
      <c r="P547" s="2336"/>
      <c r="Q547" s="2336"/>
      <c r="R547" s="2336"/>
      <c r="S547" s="2336"/>
      <c r="T547" s="2336"/>
      <c r="U547" s="2336"/>
      <c r="V547" s="2336"/>
      <c r="W547" s="2336"/>
      <c r="X547" s="2336"/>
      <c r="Y547" s="2336"/>
      <c r="Z547" s="2336"/>
      <c r="AA547" s="2336"/>
      <c r="AB547" s="2336"/>
      <c r="AC547" s="2336"/>
      <c r="AD547" s="2336"/>
      <c r="AE547" s="2336"/>
      <c r="AF547" s="2336"/>
      <c r="AG547" s="2336"/>
      <c r="AK547" s="65"/>
      <c r="AL547" s="65"/>
      <c r="AM547" s="153"/>
      <c r="AN547" s="439"/>
      <c r="AP547" s="690" t="s">
        <v>679</v>
      </c>
      <c r="AQ547" s="691"/>
      <c r="AR547" s="691"/>
      <c r="AS547" s="691"/>
      <c r="AT547" s="691"/>
      <c r="AU547" s="691"/>
      <c r="AV547" s="692"/>
      <c r="AW547" s="691"/>
      <c r="AX547" s="691"/>
      <c r="AY547" s="692"/>
      <c r="BE547" s="2368">
        <f>IF(CH548=1,0,1)</f>
        <v>0</v>
      </c>
      <c r="BF547" s="2370"/>
      <c r="BG547" s="2370"/>
      <c r="BH547" s="2369"/>
      <c r="BI547" s="2368"/>
      <c r="BJ547" s="2370"/>
      <c r="BK547" s="2370"/>
      <c r="BL547" s="2369"/>
      <c r="BM547" s="2368"/>
      <c r="BN547" s="2370"/>
      <c r="BO547" s="2370"/>
      <c r="BP547" s="2369"/>
      <c r="BQ547" s="2368"/>
      <c r="BR547" s="2370"/>
      <c r="BS547" s="2370"/>
      <c r="BT547" s="2369"/>
      <c r="BU547" s="2491"/>
      <c r="BV547" s="2492"/>
      <c r="BW547" s="2492"/>
      <c r="BX547" s="2493"/>
      <c r="BY547" s="2491"/>
      <c r="BZ547" s="2492"/>
      <c r="CA547" s="2492"/>
      <c r="CB547" s="2493"/>
      <c r="CC547" s="16"/>
      <c r="CG547" s="16"/>
      <c r="CH547" s="2000"/>
      <c r="CI547" s="2001"/>
      <c r="CJ547" s="2001"/>
      <c r="CK547" s="2002"/>
    </row>
    <row r="548" spans="1:89" s="46" customFormat="1" ht="12.75" customHeight="1">
      <c r="A548" s="29"/>
      <c r="B548" s="2336"/>
      <c r="C548" s="2336"/>
      <c r="D548" s="2336"/>
      <c r="E548" s="2336"/>
      <c r="F548" s="2336"/>
      <c r="G548" s="2336"/>
      <c r="H548" s="2336"/>
      <c r="I548" s="2336"/>
      <c r="J548" s="2336"/>
      <c r="K548" s="2336"/>
      <c r="L548" s="2336"/>
      <c r="M548" s="2336"/>
      <c r="N548" s="2336"/>
      <c r="O548" s="2336"/>
      <c r="P548" s="2336"/>
      <c r="Q548" s="2336"/>
      <c r="R548" s="2336"/>
      <c r="S548" s="2336"/>
      <c r="T548" s="2336"/>
      <c r="U548" s="2336"/>
      <c r="V548" s="2336"/>
      <c r="W548" s="2336"/>
      <c r="X548" s="2336"/>
      <c r="Y548" s="2336"/>
      <c r="Z548" s="2336"/>
      <c r="AA548" s="2336"/>
      <c r="AB548" s="2336"/>
      <c r="AC548" s="2336"/>
      <c r="AD548" s="2336"/>
      <c r="AE548" s="2336"/>
      <c r="AF548" s="2336"/>
      <c r="AG548" s="2336"/>
      <c r="AK548" s="246"/>
      <c r="AL548" s="246"/>
      <c r="AM548" s="246"/>
      <c r="AN548" s="439"/>
      <c r="AP548" s="693" t="s">
        <v>677</v>
      </c>
      <c r="AQ548" s="694"/>
      <c r="AR548" s="694"/>
      <c r="AS548" s="694"/>
      <c r="AT548" s="694"/>
      <c r="AU548" s="2371">
        <f>ROUNDUP(BK570*0.1,0)</f>
        <v>4</v>
      </c>
      <c r="AV548" s="2372"/>
      <c r="AW548" s="694"/>
      <c r="AX548" s="694">
        <f>AU548-AP550</f>
        <v>-18</v>
      </c>
      <c r="AY548" s="695"/>
      <c r="BE548" s="2368"/>
      <c r="BF548" s="2370"/>
      <c r="BG548" s="2370"/>
      <c r="BH548" s="2369"/>
      <c r="BI548" s="2368">
        <f>IF(AND(CH549=1,BE547=0),0,1)</f>
        <v>0</v>
      </c>
      <c r="BJ548" s="2370"/>
      <c r="BK548" s="2370"/>
      <c r="BL548" s="2369"/>
      <c r="BM548" s="2368"/>
      <c r="BN548" s="2370"/>
      <c r="BO548" s="2370"/>
      <c r="BP548" s="2369"/>
      <c r="BQ548" s="2368"/>
      <c r="BR548" s="2370"/>
      <c r="BS548" s="2370"/>
      <c r="BT548" s="2369"/>
      <c r="BU548" s="2491"/>
      <c r="BV548" s="2492"/>
      <c r="BW548" s="2492"/>
      <c r="BX548" s="2493"/>
      <c r="BY548" s="2491"/>
      <c r="BZ548" s="2492"/>
      <c r="CA548" s="2492"/>
      <c r="CB548" s="2493"/>
      <c r="CC548" s="16"/>
      <c r="CG548" s="16"/>
      <c r="CH548" s="2365">
        <f>IF(OR(Y608=0,Y608&gt;=0.1),1,0)</f>
        <v>1</v>
      </c>
      <c r="CI548" s="2366"/>
      <c r="CJ548" s="2366"/>
      <c r="CK548" s="2367"/>
    </row>
    <row r="549" spans="1:89" s="46" customFormat="1" ht="12.75" customHeight="1">
      <c r="A549" s="28"/>
      <c r="B549" s="2336"/>
      <c r="C549" s="2336"/>
      <c r="D549" s="2336"/>
      <c r="E549" s="2336"/>
      <c r="F549" s="2336"/>
      <c r="G549" s="2336"/>
      <c r="H549" s="2336"/>
      <c r="I549" s="2336"/>
      <c r="J549" s="2336"/>
      <c r="K549" s="2336"/>
      <c r="L549" s="2336"/>
      <c r="M549" s="2336"/>
      <c r="N549" s="2336"/>
      <c r="O549" s="2336"/>
      <c r="P549" s="2336"/>
      <c r="Q549" s="2336"/>
      <c r="R549" s="2336"/>
      <c r="S549" s="2336"/>
      <c r="T549" s="2336"/>
      <c r="U549" s="2336"/>
      <c r="V549" s="2336"/>
      <c r="W549" s="2336"/>
      <c r="X549" s="2336"/>
      <c r="Y549" s="2336"/>
      <c r="Z549" s="2336"/>
      <c r="AA549" s="2336"/>
      <c r="AB549" s="2336"/>
      <c r="AC549" s="2336"/>
      <c r="AD549" s="2336"/>
      <c r="AE549" s="2336"/>
      <c r="AF549" s="2336"/>
      <c r="AG549" s="2336"/>
      <c r="AH549" s="245"/>
      <c r="AI549" s="245"/>
      <c r="AJ549" s="245"/>
      <c r="AK549" s="246"/>
      <c r="AL549" s="246"/>
      <c r="AM549" s="246"/>
      <c r="AN549" s="439"/>
      <c r="AP549" s="693"/>
      <c r="AQ549" s="694"/>
      <c r="AR549" s="694"/>
      <c r="AS549" s="694"/>
      <c r="AT549" s="694"/>
      <c r="AU549" s="694"/>
      <c r="AV549" s="695"/>
      <c r="AW549" s="694"/>
      <c r="AX549" s="694"/>
      <c r="AY549" s="695"/>
      <c r="BE549" s="2368"/>
      <c r="BF549" s="2370"/>
      <c r="BG549" s="2370"/>
      <c r="BH549" s="2369"/>
      <c r="BI549" s="2368"/>
      <c r="BJ549" s="2370"/>
      <c r="BK549" s="2370"/>
      <c r="BL549" s="2369"/>
      <c r="BM549" s="2368">
        <f>IF(AND(AND(CH550=1,BI548=0,BE547=0)),0,1)</f>
        <v>0</v>
      </c>
      <c r="BN549" s="2370"/>
      <c r="BO549" s="2370"/>
      <c r="BP549" s="2369"/>
      <c r="BQ549" s="2368"/>
      <c r="BR549" s="2370"/>
      <c r="BS549" s="2370"/>
      <c r="BT549" s="2369"/>
      <c r="BU549" s="2491"/>
      <c r="BV549" s="2492"/>
      <c r="BW549" s="2492"/>
      <c r="BX549" s="2493"/>
      <c r="BY549" s="2491"/>
      <c r="BZ549" s="2492"/>
      <c r="CA549" s="2492"/>
      <c r="CB549" s="2493"/>
      <c r="CC549" s="16"/>
      <c r="CG549" s="16"/>
      <c r="CH549" s="2365">
        <f>IF(OR(Y609=0,Y609&gt;=0.1),1,0)</f>
        <v>1</v>
      </c>
      <c r="CI549" s="2366"/>
      <c r="CJ549" s="2366"/>
      <c r="CK549" s="2367"/>
    </row>
    <row r="550" spans="1:89" s="46" customFormat="1" ht="12.75" customHeight="1">
      <c r="A550" s="28"/>
      <c r="B550" s="2336"/>
      <c r="C550" s="2336"/>
      <c r="D550" s="2336"/>
      <c r="E550" s="2336"/>
      <c r="F550" s="2336"/>
      <c r="G550" s="2336"/>
      <c r="H550" s="2336"/>
      <c r="I550" s="2336"/>
      <c r="J550" s="2336"/>
      <c r="K550" s="2336"/>
      <c r="L550" s="2336"/>
      <c r="M550" s="2336"/>
      <c r="N550" s="2336"/>
      <c r="O550" s="2336"/>
      <c r="P550" s="2336"/>
      <c r="Q550" s="2336"/>
      <c r="R550" s="2336"/>
      <c r="S550" s="2336"/>
      <c r="T550" s="2336"/>
      <c r="U550" s="2336"/>
      <c r="V550" s="2336"/>
      <c r="W550" s="2336"/>
      <c r="X550" s="2336"/>
      <c r="Y550" s="2336"/>
      <c r="Z550" s="2336"/>
      <c r="AA550" s="2336"/>
      <c r="AB550" s="2336"/>
      <c r="AC550" s="2336"/>
      <c r="AD550" s="2336"/>
      <c r="AE550" s="2336"/>
      <c r="AF550" s="2336"/>
      <c r="AG550" s="2336"/>
      <c r="AH550" s="245"/>
      <c r="AI550" s="245"/>
      <c r="AJ550" s="245"/>
      <c r="AK550" s="246"/>
      <c r="AL550" s="246"/>
      <c r="AM550" s="246"/>
      <c r="AN550" s="439"/>
      <c r="AP550" s="2394">
        <f>SUM(T608:X612)</f>
        <v>22</v>
      </c>
      <c r="AQ550" s="2395"/>
      <c r="AR550" s="2395"/>
      <c r="AS550" s="2395"/>
      <c r="AT550" s="2396"/>
      <c r="AU550" s="694"/>
      <c r="AV550" s="695"/>
      <c r="AW550" s="694"/>
      <c r="AX550" s="694"/>
      <c r="AY550" s="695"/>
      <c r="BE550" s="2368"/>
      <c r="BF550" s="2370"/>
      <c r="BG550" s="2370"/>
      <c r="BH550" s="2369"/>
      <c r="BI550" s="2368"/>
      <c r="BJ550" s="2370"/>
      <c r="BK550" s="2370"/>
      <c r="BL550" s="2369"/>
      <c r="BM550" s="2368"/>
      <c r="BN550" s="2370"/>
      <c r="BO550" s="2370"/>
      <c r="BP550" s="2369"/>
      <c r="BQ550" s="2368">
        <f>IF(AND(AND(AND(CH551=1,BM549=0,BI548=0,BE547=0))),0,1)</f>
        <v>0</v>
      </c>
      <c r="BR550" s="2370"/>
      <c r="BS550" s="2370"/>
      <c r="BT550" s="2369"/>
      <c r="BU550" s="2491"/>
      <c r="BV550" s="2492"/>
      <c r="BW550" s="2492"/>
      <c r="BX550" s="2493"/>
      <c r="BY550" s="2491"/>
      <c r="BZ550" s="2492"/>
      <c r="CA550" s="2492"/>
      <c r="CB550" s="2493"/>
      <c r="CC550" s="16"/>
      <c r="CG550" s="16"/>
      <c r="CH550" s="2365">
        <f>IF(OR(Y610=0,Y610&gt;=0.1),1,0)</f>
        <v>1</v>
      </c>
      <c r="CI550" s="2366"/>
      <c r="CJ550" s="2366"/>
      <c r="CK550" s="2367"/>
    </row>
    <row r="551" spans="1:89" s="46" customFormat="1" ht="12.75" customHeight="1">
      <c r="A551" s="28"/>
      <c r="B551" s="2336"/>
      <c r="C551" s="2336"/>
      <c r="D551" s="2336"/>
      <c r="E551" s="2336"/>
      <c r="F551" s="2336"/>
      <c r="G551" s="2336"/>
      <c r="H551" s="2336"/>
      <c r="I551" s="2336"/>
      <c r="J551" s="2336"/>
      <c r="K551" s="2336"/>
      <c r="L551" s="2336"/>
      <c r="M551" s="2336"/>
      <c r="N551" s="2336"/>
      <c r="O551" s="2336"/>
      <c r="P551" s="2336"/>
      <c r="Q551" s="2336"/>
      <c r="R551" s="2336"/>
      <c r="S551" s="2336"/>
      <c r="T551" s="2336"/>
      <c r="U551" s="2336"/>
      <c r="V551" s="2336"/>
      <c r="W551" s="2336"/>
      <c r="X551" s="2336"/>
      <c r="Y551" s="2336"/>
      <c r="Z551" s="2336"/>
      <c r="AA551" s="2336"/>
      <c r="AB551" s="2336"/>
      <c r="AC551" s="2336"/>
      <c r="AD551" s="2336"/>
      <c r="AE551" s="2336"/>
      <c r="AF551" s="2336"/>
      <c r="AG551" s="2336"/>
      <c r="AH551" s="245"/>
      <c r="AI551" s="245"/>
      <c r="AJ551" s="245"/>
      <c r="AK551" s="246"/>
      <c r="AL551" s="246"/>
      <c r="AM551" s="246"/>
      <c r="AN551" s="439"/>
      <c r="AP551" s="696"/>
      <c r="AQ551" s="697"/>
      <c r="AR551" s="697"/>
      <c r="AS551" s="697"/>
      <c r="AT551" s="698" t="s">
        <v>672</v>
      </c>
      <c r="AU551" s="2371" t="str">
        <f>IF(AP550&gt;=AU548,"passed","failed")</f>
        <v>passed</v>
      </c>
      <c r="AV551" s="2524"/>
      <c r="AW551" s="2372"/>
      <c r="AX551" s="699"/>
      <c r="AY551" s="700"/>
      <c r="BE551" s="2368"/>
      <c r="BF551" s="2370"/>
      <c r="BG551" s="2370"/>
      <c r="BH551" s="2369"/>
      <c r="BI551" s="2368"/>
      <c r="BJ551" s="2370"/>
      <c r="BK551" s="2370"/>
      <c r="BL551" s="2369"/>
      <c r="BM551" s="2368"/>
      <c r="BN551" s="2370"/>
      <c r="BO551" s="2370"/>
      <c r="BP551" s="2369"/>
      <c r="BQ551" s="2368"/>
      <c r="BR551" s="2370"/>
      <c r="BS551" s="2370"/>
      <c r="BT551" s="2369"/>
      <c r="BU551" s="2368">
        <f>IF(AND(AND(AND(AND(CH552=1,BQ550=0,BM549=0,BI548=0,BE547=0)))),0,1)</f>
        <v>0</v>
      </c>
      <c r="BV551" s="2370"/>
      <c r="BW551" s="2370"/>
      <c r="BX551" s="2369"/>
      <c r="BY551" s="2491"/>
      <c r="BZ551" s="2492"/>
      <c r="CA551" s="2492"/>
      <c r="CB551" s="2493"/>
      <c r="CC551" s="16"/>
      <c r="CD551" s="16"/>
      <c r="CE551" s="16"/>
      <c r="CF551" s="16"/>
      <c r="CG551" s="16"/>
      <c r="CH551" s="2365">
        <f>IF(OR(Y611=0,Y611&gt;=0.1),1,0)</f>
        <v>1</v>
      </c>
      <c r="CI551" s="2366"/>
      <c r="CJ551" s="2366"/>
      <c r="CK551" s="2367"/>
    </row>
    <row r="552" spans="1:89" s="46" customFormat="1" ht="13.65" customHeight="1">
      <c r="A552" s="28"/>
      <c r="B552" s="2336"/>
      <c r="C552" s="2336"/>
      <c r="D552" s="2336"/>
      <c r="E552" s="2336"/>
      <c r="F552" s="2336"/>
      <c r="G552" s="2336"/>
      <c r="H552" s="2336"/>
      <c r="I552" s="2336"/>
      <c r="J552" s="2336"/>
      <c r="K552" s="2336"/>
      <c r="L552" s="2336"/>
      <c r="M552" s="2336"/>
      <c r="N552" s="2336"/>
      <c r="O552" s="2336"/>
      <c r="P552" s="2336"/>
      <c r="Q552" s="2336"/>
      <c r="R552" s="2336"/>
      <c r="S552" s="2336"/>
      <c r="T552" s="2336"/>
      <c r="U552" s="2336"/>
      <c r="V552" s="2336"/>
      <c r="W552" s="2336"/>
      <c r="X552" s="2336"/>
      <c r="Y552" s="2336"/>
      <c r="Z552" s="2336"/>
      <c r="AA552" s="2336"/>
      <c r="AB552" s="2336"/>
      <c r="AC552" s="2336"/>
      <c r="AD552" s="2336"/>
      <c r="AE552" s="2336"/>
      <c r="AF552" s="2336"/>
      <c r="AG552" s="2336"/>
      <c r="AH552" s="245"/>
      <c r="AI552" s="245"/>
      <c r="AJ552" s="245"/>
      <c r="AK552" s="246"/>
      <c r="AL552" s="246"/>
      <c r="AM552" s="246"/>
      <c r="AN552" s="1140"/>
      <c r="BE552" s="2368">
        <f>SUM(BE547:BH551)</f>
        <v>0</v>
      </c>
      <c r="BF552" s="2370"/>
      <c r="BG552" s="2370"/>
      <c r="BH552" s="2369"/>
      <c r="BI552" s="2368">
        <f>SUM(BI547:BL551)</f>
        <v>0</v>
      </c>
      <c r="BJ552" s="2370"/>
      <c r="BK552" s="2370"/>
      <c r="BL552" s="2369"/>
      <c r="BM552" s="2368">
        <f>SUM(BM547:BP551)</f>
        <v>0</v>
      </c>
      <c r="BN552" s="2370"/>
      <c r="BO552" s="2370"/>
      <c r="BP552" s="2369"/>
      <c r="BQ552" s="2368">
        <f>SUM(BQ547:BT551)</f>
        <v>0</v>
      </c>
      <c r="BR552" s="2370"/>
      <c r="BS552" s="2370"/>
      <c r="BT552" s="2369"/>
      <c r="BU552" s="2368">
        <f>SUM(BU547:BX551)</f>
        <v>0</v>
      </c>
      <c r="BV552" s="2370"/>
      <c r="BW552" s="2370"/>
      <c r="BX552" s="2369"/>
      <c r="BY552" s="2368">
        <f>SUM(BY547:CB551)</f>
        <v>0</v>
      </c>
      <c r="BZ552" s="2370"/>
      <c r="CA552" s="2370"/>
      <c r="CB552" s="2369"/>
      <c r="CC552" s="2365">
        <f>IF(AND(CH548=1,T608&gt;0),0,SUM(BE552:CB552))</f>
        <v>0</v>
      </c>
      <c r="CD552" s="2366"/>
      <c r="CE552" s="2366"/>
      <c r="CF552" s="2367"/>
      <c r="CG552" s="16"/>
      <c r="CH552" s="2365">
        <f>IF(OR(Y612=0,Y612&gt;=0.1),1,0)</f>
        <v>1</v>
      </c>
      <c r="CI552" s="2366"/>
      <c r="CJ552" s="2366"/>
      <c r="CK552" s="2367"/>
    </row>
    <row r="553" spans="1:89" s="137" customFormat="1" ht="12.6" customHeight="1">
      <c r="A553" s="28"/>
      <c r="B553" s="2528" t="s">
        <v>1681</v>
      </c>
      <c r="C553" s="2528"/>
      <c r="D553" s="2528"/>
      <c r="E553" s="2528"/>
      <c r="F553" s="2528"/>
      <c r="G553" s="2528"/>
      <c r="H553" s="2528"/>
      <c r="I553" s="2528"/>
      <c r="J553" s="2528"/>
      <c r="K553" s="2528"/>
      <c r="L553" s="2528"/>
      <c r="M553" s="2528"/>
      <c r="N553" s="2528"/>
      <c r="O553" s="2528"/>
      <c r="P553" s="2528"/>
      <c r="Q553" s="2528"/>
      <c r="R553" s="2528"/>
      <c r="S553" s="2528"/>
      <c r="T553" s="2528"/>
      <c r="U553" s="2528"/>
      <c r="V553" s="2528"/>
      <c r="W553" s="2528"/>
      <c r="X553" s="2528"/>
      <c r="Y553" s="2528"/>
      <c r="Z553" s="2528"/>
      <c r="AA553" s="2528"/>
      <c r="AB553" s="2528"/>
      <c r="AC553" s="2528"/>
      <c r="AD553" s="2528"/>
      <c r="AE553" s="2528"/>
      <c r="AF553" s="2528"/>
      <c r="AG553" s="2528"/>
      <c r="AH553" s="245"/>
      <c r="AI553" s="245"/>
      <c r="AJ553" s="245"/>
      <c r="AK553" s="246"/>
      <c r="AL553" s="246"/>
      <c r="AM553" s="246"/>
      <c r="AN553" s="439"/>
    </row>
    <row r="554" spans="1:89" s="46" customFormat="1" ht="21" customHeight="1">
      <c r="A554" s="28"/>
      <c r="B554" s="2528"/>
      <c r="C554" s="2528"/>
      <c r="D554" s="2528"/>
      <c r="E554" s="2528"/>
      <c r="F554" s="2528"/>
      <c r="G554" s="2528"/>
      <c r="H554" s="2528"/>
      <c r="I554" s="2528"/>
      <c r="J554" s="2528"/>
      <c r="K554" s="2528"/>
      <c r="L554" s="2528"/>
      <c r="M554" s="2528"/>
      <c r="N554" s="2528"/>
      <c r="O554" s="2528"/>
      <c r="P554" s="2528"/>
      <c r="Q554" s="2528"/>
      <c r="R554" s="2528"/>
      <c r="S554" s="2528"/>
      <c r="T554" s="2528"/>
      <c r="U554" s="2528"/>
      <c r="V554" s="2528"/>
      <c r="W554" s="2528"/>
      <c r="X554" s="2528"/>
      <c r="Y554" s="2528"/>
      <c r="Z554" s="2528"/>
      <c r="AA554" s="2528"/>
      <c r="AB554" s="2528"/>
      <c r="AC554" s="2528"/>
      <c r="AD554" s="2528"/>
      <c r="AE554" s="2528"/>
      <c r="AF554" s="2528"/>
      <c r="AG554" s="2528"/>
      <c r="AH554" s="245"/>
      <c r="AI554" s="245"/>
      <c r="AJ554" s="245"/>
      <c r="AK554" s="246"/>
      <c r="AL554" s="246"/>
      <c r="AM554" s="246"/>
      <c r="AN554" s="439"/>
      <c r="AP554" s="227" t="s">
        <v>674</v>
      </c>
      <c r="AQ554" s="228"/>
      <c r="AR554" s="228"/>
      <c r="AS554" s="228"/>
      <c r="AT554" s="228"/>
      <c r="AU554" s="228"/>
      <c r="AV554" s="228"/>
      <c r="AW554" s="228"/>
      <c r="AX554" s="228"/>
      <c r="AY554" s="229"/>
    </row>
    <row r="555" spans="1:89" s="46" customFormat="1" ht="12.75" customHeight="1">
      <c r="A555" s="28"/>
      <c r="B555" s="2528" t="s">
        <v>1996</v>
      </c>
      <c r="C555" s="2528"/>
      <c r="D555" s="2528"/>
      <c r="E555" s="2528"/>
      <c r="F555" s="2528"/>
      <c r="G555" s="2528"/>
      <c r="H555" s="2528"/>
      <c r="I555" s="2528"/>
      <c r="J555" s="2528"/>
      <c r="K555" s="2528"/>
      <c r="L555" s="2528"/>
      <c r="M555" s="2528"/>
      <c r="N555" s="2528"/>
      <c r="O555" s="2528"/>
      <c r="P555" s="2528"/>
      <c r="Q555" s="2528"/>
      <c r="R555" s="2528"/>
      <c r="S555" s="2528"/>
      <c r="T555" s="2528"/>
      <c r="U555" s="2528"/>
      <c r="V555" s="2528"/>
      <c r="W555" s="2528"/>
      <c r="X555" s="2528"/>
      <c r="Y555" s="2528"/>
      <c r="Z555" s="2528"/>
      <c r="AA555" s="2528"/>
      <c r="AB555" s="2528"/>
      <c r="AC555" s="2528"/>
      <c r="AD555" s="2528"/>
      <c r="AE555" s="2528"/>
      <c r="AF555" s="2528"/>
      <c r="AG555" s="1154"/>
      <c r="AH555" s="245"/>
      <c r="AI555" s="245"/>
      <c r="AJ555" s="245"/>
      <c r="AK555" s="246"/>
      <c r="AL555" s="246"/>
      <c r="AM555" s="246"/>
      <c r="AN555" s="439"/>
      <c r="AP555" s="230" t="s">
        <v>782</v>
      </c>
      <c r="AQ555" s="231"/>
      <c r="AR555" s="231"/>
      <c r="AS555" s="231"/>
      <c r="AT555" s="231"/>
      <c r="AU555" s="231"/>
      <c r="AV555" s="231"/>
      <c r="AW555" s="231"/>
      <c r="AX555" s="238"/>
      <c r="AY555" s="238"/>
    </row>
    <row r="556" spans="1:89" s="46" customFormat="1" ht="12.75" customHeight="1">
      <c r="A556" s="28"/>
      <c r="B556" s="2528"/>
      <c r="C556" s="2528"/>
      <c r="D556" s="2528"/>
      <c r="E556" s="2528"/>
      <c r="F556" s="2528"/>
      <c r="G556" s="2528"/>
      <c r="H556" s="2528"/>
      <c r="I556" s="2528"/>
      <c r="J556" s="2528"/>
      <c r="K556" s="2528"/>
      <c r="L556" s="2528"/>
      <c r="M556" s="2528"/>
      <c r="N556" s="2528"/>
      <c r="O556" s="2528"/>
      <c r="P556" s="2528"/>
      <c r="Q556" s="2528"/>
      <c r="R556" s="2528"/>
      <c r="S556" s="2528"/>
      <c r="T556" s="2528"/>
      <c r="U556" s="2528"/>
      <c r="V556" s="2528"/>
      <c r="W556" s="2528"/>
      <c r="X556" s="2528"/>
      <c r="Y556" s="2528"/>
      <c r="Z556" s="2528"/>
      <c r="AA556" s="2528"/>
      <c r="AB556" s="2528"/>
      <c r="AC556" s="2528"/>
      <c r="AD556" s="2528"/>
      <c r="AE556" s="2528"/>
      <c r="AF556" s="2528"/>
      <c r="AG556" s="245"/>
      <c r="AH556" s="245"/>
      <c r="AI556" s="245"/>
      <c r="AJ556" s="245"/>
      <c r="AK556" s="246"/>
      <c r="AL556" s="246"/>
      <c r="AM556" s="246"/>
      <c r="AN556" s="439"/>
      <c r="AP556" s="232"/>
      <c r="AQ556" s="233"/>
      <c r="AR556" s="233"/>
      <c r="AS556" s="233"/>
      <c r="AT556" s="239" t="s">
        <v>672</v>
      </c>
      <c r="AU556" s="233"/>
      <c r="AV556" s="2368" t="str">
        <f>IF(BJ592&gt;0,"failed","passed")</f>
        <v>failed</v>
      </c>
      <c r="AW556" s="2370"/>
      <c r="AX556" s="2370"/>
      <c r="AY556" s="2369"/>
    </row>
    <row r="557" spans="1:89" s="46" customFormat="1" ht="12.6" customHeight="1">
      <c r="A557" s="28"/>
      <c r="B557" s="1155" t="s">
        <v>1685</v>
      </c>
      <c r="C557" s="1156"/>
      <c r="D557" s="1156"/>
      <c r="E557" s="1156"/>
      <c r="F557" s="1156"/>
      <c r="G557" s="1156"/>
      <c r="H557" s="1156"/>
      <c r="I557" s="1156"/>
      <c r="J557" s="1156"/>
      <c r="K557" s="1156"/>
      <c r="L557" s="1156"/>
      <c r="M557" s="1156"/>
      <c r="N557" s="1156"/>
      <c r="O557" s="349"/>
      <c r="P557" s="349"/>
      <c r="Q557" s="349"/>
      <c r="R557" s="349"/>
      <c r="S557" s="349"/>
      <c r="T557" s="349"/>
      <c r="U557" s="349"/>
      <c r="V557" s="349"/>
      <c r="W557" s="349"/>
      <c r="X557" s="349"/>
      <c r="Y557" s="349"/>
      <c r="Z557" s="349"/>
      <c r="AA557" s="349"/>
      <c r="AB557" s="349"/>
      <c r="AC557" s="349"/>
      <c r="AD557" s="349"/>
      <c r="AE557" s="349"/>
      <c r="AF557" s="349"/>
      <c r="AG557" s="349"/>
      <c r="AH557" s="349"/>
      <c r="AI557" s="245"/>
      <c r="AJ557" s="245"/>
      <c r="AK557" s="246"/>
      <c r="AL557" s="246"/>
      <c r="AM557" s="246"/>
      <c r="AN557" s="439"/>
    </row>
    <row r="558" spans="1:89" s="46" customFormat="1" ht="12.75" customHeight="1">
      <c r="A558" s="28"/>
      <c r="B558" s="349" t="s">
        <v>1994</v>
      </c>
      <c r="G558" s="349"/>
      <c r="H558" s="349"/>
      <c r="I558" s="349"/>
      <c r="J558" s="349"/>
      <c r="K558" s="349"/>
      <c r="L558" s="349"/>
      <c r="M558" s="349"/>
      <c r="N558" s="349"/>
      <c r="O558" s="349"/>
      <c r="P558" s="349"/>
      <c r="Q558" s="349"/>
      <c r="R558" s="349"/>
      <c r="S558" s="349"/>
      <c r="T558" s="349"/>
      <c r="U558" s="349"/>
      <c r="V558" s="349"/>
      <c r="W558" s="349"/>
      <c r="X558" s="349"/>
      <c r="Y558" s="349"/>
      <c r="Z558" s="349"/>
      <c r="AA558" s="349"/>
      <c r="AB558" s="349"/>
      <c r="AC558" s="349"/>
      <c r="AD558" s="349"/>
      <c r="AE558" s="349"/>
      <c r="AF558" s="349"/>
      <c r="AG558" s="349"/>
      <c r="AH558" s="349"/>
      <c r="AI558" s="245"/>
      <c r="AJ558" s="245"/>
      <c r="AK558" s="246"/>
      <c r="AL558" s="246"/>
      <c r="AM558" s="246"/>
      <c r="AN558" s="439"/>
      <c r="BL558" s="16"/>
      <c r="BM558" s="16"/>
      <c r="BN558" s="16"/>
      <c r="BO558" s="16"/>
      <c r="BP558" s="16"/>
      <c r="BQ558" s="16"/>
      <c r="CB558" s="16"/>
      <c r="CC558" s="16"/>
      <c r="CD558" s="16"/>
      <c r="CE558" s="35"/>
      <c r="CF558" s="16"/>
      <c r="CG558" s="35"/>
      <c r="CH558" s="35"/>
    </row>
    <row r="559" spans="1:89" s="46" customFormat="1" ht="12.75" customHeight="1">
      <c r="A559" s="28"/>
      <c r="B559" s="57"/>
      <c r="C559" s="28"/>
      <c r="D559" s="247"/>
      <c r="E559" s="248"/>
      <c r="I559" s="340"/>
      <c r="J559" s="341"/>
      <c r="K559" s="342"/>
      <c r="L559" s="342"/>
      <c r="M559" s="343"/>
      <c r="N559" s="343"/>
      <c r="O559" s="343"/>
      <c r="P559" s="344"/>
      <c r="Q559" s="2475" t="s">
        <v>1682</v>
      </c>
      <c r="R559" s="2475"/>
      <c r="S559" s="2475"/>
      <c r="T559" s="2475"/>
      <c r="U559" s="2475"/>
      <c r="V559" s="2475"/>
      <c r="W559" s="2475"/>
      <c r="X559" s="2475"/>
      <c r="Y559" s="2475"/>
      <c r="Z559" s="2475"/>
      <c r="AA559" s="2475"/>
      <c r="AB559" s="2475"/>
      <c r="AC559" s="2475"/>
      <c r="AD559" s="2475"/>
      <c r="AE559" s="2475"/>
      <c r="AF559" s="2475"/>
      <c r="AG559" s="245"/>
      <c r="AH559" s="245"/>
      <c r="AI559" s="245"/>
      <c r="AJ559" s="44"/>
      <c r="AK559" s="153"/>
      <c r="AL559" s="153"/>
      <c r="AM559" s="153"/>
      <c r="AN559" s="439"/>
      <c r="AP559" s="85" t="s">
        <v>1039</v>
      </c>
      <c r="AQ559" s="86"/>
      <c r="AR559" s="86"/>
      <c r="AS559" s="86"/>
      <c r="AT559" s="86"/>
      <c r="AU559" s="86"/>
      <c r="AV559" s="86"/>
      <c r="AW559" s="86"/>
      <c r="AX559" s="86"/>
      <c r="AY559" s="86"/>
      <c r="AZ559" s="86"/>
      <c r="BA559" s="86"/>
      <c r="BB559" s="86"/>
      <c r="BC559" s="86"/>
      <c r="BD559" s="86"/>
      <c r="BE559" s="86"/>
      <c r="BF559" s="86"/>
      <c r="BG559" s="108"/>
      <c r="BL559" s="16"/>
      <c r="BM559" s="16"/>
      <c r="BN559" s="16"/>
      <c r="BO559" s="16"/>
      <c r="BP559" s="16"/>
      <c r="BQ559" s="16"/>
      <c r="CB559" s="16"/>
      <c r="CC559" s="16"/>
      <c r="CD559" s="16"/>
      <c r="CE559" s="35"/>
      <c r="CF559" s="16"/>
      <c r="CG559" s="35"/>
      <c r="CH559" s="35"/>
    </row>
    <row r="560" spans="1:89" s="46" customFormat="1" ht="12.75" customHeight="1">
      <c r="A560" s="28"/>
      <c r="B560" s="152"/>
      <c r="C560" s="28"/>
      <c r="I560" s="345"/>
      <c r="J560" s="245"/>
      <c r="K560" s="162"/>
      <c r="L560" s="162"/>
      <c r="M560" s="162"/>
      <c r="N560" s="26"/>
      <c r="O560" s="26"/>
      <c r="P560" s="346"/>
      <c r="Q560" s="2475"/>
      <c r="R560" s="2475"/>
      <c r="S560" s="2475"/>
      <c r="T560" s="2475"/>
      <c r="U560" s="2475"/>
      <c r="V560" s="2475"/>
      <c r="W560" s="2475"/>
      <c r="X560" s="2475"/>
      <c r="Y560" s="2475"/>
      <c r="Z560" s="2475"/>
      <c r="AA560" s="2475"/>
      <c r="AB560" s="2475"/>
      <c r="AC560" s="2475"/>
      <c r="AD560" s="2475"/>
      <c r="AE560" s="2475"/>
      <c r="AF560" s="2475"/>
      <c r="AN560" s="439"/>
      <c r="AP560" s="93" t="s">
        <v>779</v>
      </c>
      <c r="AQ560" s="94"/>
      <c r="AR560" s="94"/>
      <c r="AS560" s="94"/>
      <c r="AT560" s="94"/>
      <c r="AU560" s="94"/>
      <c r="AV560" s="94"/>
      <c r="AW560" s="94"/>
      <c r="AX560" s="94"/>
      <c r="AY560" s="94"/>
      <c r="AZ560" s="94"/>
      <c r="BA560" s="94"/>
      <c r="BB560" s="94"/>
      <c r="BC560" s="90"/>
      <c r="BD560" s="670" t="str">
        <f>IF(CN579=0,"passed","failed")</f>
        <v>passed</v>
      </c>
      <c r="BE560" s="671"/>
      <c r="BF560" s="671"/>
      <c r="BG560" s="672"/>
      <c r="BJ560" s="205"/>
      <c r="BK560" s="205"/>
      <c r="BL560" s="16"/>
      <c r="BM560" s="16"/>
      <c r="BN560" s="16"/>
      <c r="BO560" s="16"/>
      <c r="BP560" s="16"/>
      <c r="BQ560" s="16"/>
      <c r="BR560" s="205"/>
      <c r="BS560" s="205"/>
      <c r="BT560" s="205"/>
      <c r="BU560" s="205"/>
      <c r="BV560" s="205"/>
      <c r="BW560" s="205"/>
      <c r="BX560" s="205"/>
      <c r="BY560" s="205"/>
      <c r="BZ560" s="205"/>
      <c r="CA560" s="205"/>
      <c r="CB560" s="16"/>
      <c r="CC560" s="16"/>
      <c r="CD560" s="16"/>
      <c r="CE560" s="35"/>
      <c r="CF560" s="16"/>
      <c r="CG560" s="35"/>
      <c r="CH560" s="35"/>
    </row>
    <row r="561" spans="1:96" s="46" customFormat="1" ht="12.75" customHeight="1" thickBot="1">
      <c r="A561" s="28"/>
      <c r="B561" s="106"/>
      <c r="C561" s="28"/>
      <c r="I561" s="347"/>
      <c r="J561" s="348"/>
      <c r="K561" s="257"/>
      <c r="L561" s="257"/>
      <c r="M561" s="257"/>
      <c r="N561" s="305"/>
      <c r="O561" s="305"/>
      <c r="P561" s="311"/>
      <c r="Q561" s="2518" t="s">
        <v>1995</v>
      </c>
      <c r="R561" s="2519"/>
      <c r="S561" s="2533" t="s">
        <v>227</v>
      </c>
      <c r="T561" s="2533"/>
      <c r="U561" s="2518">
        <v>0.5</v>
      </c>
      <c r="V561" s="2519"/>
      <c r="W561" s="2518">
        <v>0.45</v>
      </c>
      <c r="X561" s="2519"/>
      <c r="Y561" s="2518">
        <v>0.4</v>
      </c>
      <c r="Z561" s="2519"/>
      <c r="AA561" s="2518">
        <v>0.35</v>
      </c>
      <c r="AB561" s="2519"/>
      <c r="AC561" s="2522">
        <v>0.3</v>
      </c>
      <c r="AD561" s="2523"/>
      <c r="AE561" s="2518">
        <v>0.2</v>
      </c>
      <c r="AF561" s="2519"/>
      <c r="AN561" s="439"/>
      <c r="BL561" s="16"/>
      <c r="BM561" s="16"/>
      <c r="BN561" s="16"/>
      <c r="BO561" s="16"/>
      <c r="BP561" s="16"/>
      <c r="BQ561" s="16"/>
      <c r="BR561" s="16"/>
      <c r="BS561" s="16"/>
      <c r="BT561" s="16"/>
      <c r="BU561" s="16"/>
      <c r="BV561" s="16"/>
      <c r="BW561" s="16"/>
      <c r="BX561" s="16"/>
      <c r="BY561" s="16"/>
      <c r="BZ561" s="16"/>
      <c r="CA561" s="16"/>
      <c r="CB561" s="16"/>
      <c r="CC561" s="16"/>
      <c r="CD561" s="16"/>
      <c r="CE561" s="16"/>
      <c r="CF561" s="16"/>
      <c r="CG561" s="16"/>
      <c r="CH561" s="16"/>
    </row>
    <row r="562" spans="1:96" s="46" customFormat="1" ht="12.75" customHeight="1">
      <c r="A562" s="28"/>
      <c r="B562" s="106"/>
      <c r="C562" s="28"/>
      <c r="I562" s="345"/>
      <c r="J562" s="245"/>
      <c r="K562" s="162"/>
      <c r="L562" s="162"/>
      <c r="M562" s="162"/>
      <c r="N562" s="71"/>
      <c r="O562" s="2345"/>
      <c r="P562" s="2346"/>
      <c r="Q562" s="2534"/>
      <c r="R562" s="2529"/>
      <c r="S562" s="2540"/>
      <c r="T562" s="2540"/>
      <c r="U562" s="2529"/>
      <c r="V562" s="2529"/>
      <c r="W562" s="2529"/>
      <c r="X562" s="2529"/>
      <c r="Y562" s="2529"/>
      <c r="Z562" s="2529"/>
      <c r="AA562" s="2536"/>
      <c r="AB562" s="2536"/>
      <c r="AC562" s="2529"/>
      <c r="AD562" s="2529"/>
      <c r="AE562" s="2520"/>
      <c r="AF562" s="2521"/>
      <c r="AN562" s="439"/>
      <c r="AP562" s="226" t="s">
        <v>780</v>
      </c>
      <c r="AQ562" s="91"/>
      <c r="AR562" s="91"/>
      <c r="AS562" s="91"/>
      <c r="AT562" s="2365" t="str">
        <f>IF(OR(AV556="passed",BD560="passed"),"passed","failed")</f>
        <v>passed</v>
      </c>
      <c r="AU562" s="2366"/>
      <c r="AV562" s="2366"/>
      <c r="AW562" s="2366"/>
      <c r="AX562" s="2367"/>
    </row>
    <row r="563" spans="1:96" s="46" customFormat="1" ht="12.75" customHeight="1">
      <c r="A563" s="28"/>
      <c r="B563" s="106"/>
      <c r="C563" s="28"/>
      <c r="I563" s="345"/>
      <c r="J563" s="245"/>
      <c r="K563" s="162"/>
      <c r="L563" s="162"/>
      <c r="M563" s="162"/>
      <c r="N563" s="71"/>
      <c r="O563" s="2345"/>
      <c r="P563" s="2346"/>
      <c r="Q563" s="2532"/>
      <c r="R563" s="2301"/>
      <c r="S563" s="2301"/>
      <c r="T563" s="2301"/>
      <c r="U563" s="2301"/>
      <c r="V563" s="2301"/>
      <c r="W563" s="2301"/>
      <c r="X563" s="2301"/>
      <c r="Y563" s="2300"/>
      <c r="Z563" s="2300"/>
      <c r="AA563" s="2301"/>
      <c r="AB563" s="2301"/>
      <c r="AC563" s="2300"/>
      <c r="AD563" s="2300"/>
      <c r="AE563" s="2302"/>
      <c r="AF563" s="2303"/>
      <c r="AN563" s="439"/>
      <c r="AP563" s="16"/>
      <c r="AQ563" s="16"/>
      <c r="AR563" s="16"/>
      <c r="AS563" s="16"/>
      <c r="AT563" s="16"/>
      <c r="AU563" s="16"/>
      <c r="AV563" s="16"/>
      <c r="AW563" s="16"/>
      <c r="AX563" s="16"/>
      <c r="AY563" s="16"/>
    </row>
    <row r="564" spans="1:96" s="46" customFormat="1" ht="12.75" customHeight="1">
      <c r="A564" s="28"/>
      <c r="B564" s="106"/>
      <c r="C564" s="28"/>
      <c r="I564" s="345"/>
      <c r="J564" s="245"/>
      <c r="K564" s="162"/>
      <c r="L564" s="162"/>
      <c r="M564" s="162"/>
      <c r="N564" s="71"/>
      <c r="O564" s="2345"/>
      <c r="P564" s="2346"/>
      <c r="Q564" s="2532"/>
      <c r="R564" s="2301"/>
      <c r="S564" s="2301"/>
      <c r="T564" s="2301"/>
      <c r="U564" s="2301"/>
      <c r="V564" s="2301"/>
      <c r="W564" s="2301"/>
      <c r="X564" s="2301"/>
      <c r="Y564" s="2301"/>
      <c r="Z564" s="2301"/>
      <c r="AA564" s="2300"/>
      <c r="AB564" s="2300"/>
      <c r="AC564" s="2301"/>
      <c r="AD564" s="2301"/>
      <c r="AE564" s="2332"/>
      <c r="AF564" s="2333"/>
      <c r="AN564" s="439"/>
      <c r="AP564" s="235" t="s">
        <v>673</v>
      </c>
      <c r="AQ564" s="236"/>
      <c r="AR564" s="236"/>
      <c r="AS564" s="236"/>
      <c r="AT564" s="236"/>
      <c r="AU564" s="236"/>
      <c r="AV564" s="237"/>
      <c r="AW564" s="2525" t="str">
        <f>IF(AND(AND(AND(AND(AS544="passed",AU551="passed",BD560="passed",SUM(T608:X612)&gt;1)))),"YES","NO")</f>
        <v>YES</v>
      </c>
      <c r="AX564" s="2526"/>
      <c r="AY564" s="2527"/>
      <c r="AZ564" s="68"/>
      <c r="BA564" s="68"/>
      <c r="BB564" s="68"/>
      <c r="BC564" s="68"/>
      <c r="BD564" s="68"/>
      <c r="BE564" s="65"/>
      <c r="BF564" s="65"/>
      <c r="BG564" s="65"/>
    </row>
    <row r="565" spans="1:96" s="46" customFormat="1" ht="12.75" customHeight="1">
      <c r="A565" s="28"/>
      <c r="B565" s="106"/>
      <c r="C565" s="28"/>
      <c r="I565" s="345"/>
      <c r="J565" s="245"/>
      <c r="K565" s="162"/>
      <c r="L565" s="162"/>
      <c r="M565" s="162"/>
      <c r="N565" s="71"/>
      <c r="O565" s="2345"/>
      <c r="P565" s="2346"/>
      <c r="Q565" s="2532"/>
      <c r="R565" s="2301"/>
      <c r="S565" s="2301"/>
      <c r="T565" s="2301"/>
      <c r="U565" s="2301"/>
      <c r="V565" s="2301"/>
      <c r="W565" s="2301"/>
      <c r="X565" s="2301"/>
      <c r="Y565" s="2300"/>
      <c r="Z565" s="2300"/>
      <c r="AA565" s="2301"/>
      <c r="AB565" s="2301"/>
      <c r="AC565" s="2300"/>
      <c r="AD565" s="2300"/>
      <c r="AE565" s="2302"/>
      <c r="AF565" s="2303"/>
      <c r="AN565" s="439"/>
    </row>
    <row r="566" spans="1:96" s="46" customFormat="1" ht="12.75" customHeight="1">
      <c r="A566" s="28"/>
      <c r="B566" s="106"/>
      <c r="C566" s="28"/>
      <c r="I566" s="345"/>
      <c r="J566" s="245"/>
      <c r="K566" s="162"/>
      <c r="L566" s="162"/>
      <c r="M566" s="162"/>
      <c r="N566" s="71"/>
      <c r="O566" s="2345"/>
      <c r="P566" s="2346"/>
      <c r="Q566" s="2532"/>
      <c r="R566" s="2301"/>
      <c r="S566" s="2301"/>
      <c r="T566" s="2301"/>
      <c r="U566" s="2301"/>
      <c r="V566" s="2301"/>
      <c r="W566" s="2300"/>
      <c r="X566" s="2300"/>
      <c r="Y566" s="2301"/>
      <c r="Z566" s="2301"/>
      <c r="AA566" s="2300"/>
      <c r="AB566" s="2300"/>
      <c r="AC566" s="2301"/>
      <c r="AD566" s="2301"/>
      <c r="AE566" s="2332"/>
      <c r="AF566" s="2333"/>
      <c r="AN566" s="439"/>
    </row>
    <row r="567" spans="1:96" s="46" customFormat="1" ht="12.75" customHeight="1">
      <c r="A567" s="28"/>
      <c r="B567" s="106"/>
      <c r="C567" s="28"/>
      <c r="I567" s="345"/>
      <c r="J567" s="245"/>
      <c r="K567" s="162"/>
      <c r="L567" s="162"/>
      <c r="M567" s="162"/>
      <c r="N567" s="71"/>
      <c r="O567" s="2345"/>
      <c r="P567" s="2346"/>
      <c r="Q567" s="2532"/>
      <c r="R567" s="2301"/>
      <c r="S567" s="2301"/>
      <c r="T567" s="2301"/>
      <c r="U567" s="2301"/>
      <c r="V567" s="2301"/>
      <c r="W567" s="2301"/>
      <c r="X567" s="2301"/>
      <c r="Y567" s="2300"/>
      <c r="Z567" s="2300"/>
      <c r="AA567" s="2301"/>
      <c r="AB567" s="2301"/>
      <c r="AC567" s="2300"/>
      <c r="AD567" s="2300"/>
      <c r="AE567" s="2302"/>
      <c r="AF567" s="2303"/>
      <c r="AN567" s="439"/>
      <c r="AU567" s="65"/>
      <c r="AV567" s="65"/>
      <c r="AW567" s="90"/>
      <c r="AX567" s="91"/>
      <c r="AY567" s="91"/>
      <c r="AZ567" s="100" t="s">
        <v>1248</v>
      </c>
      <c r="BA567" s="2494" t="s">
        <v>781</v>
      </c>
      <c r="BB567" s="2495"/>
      <c r="BC567" s="2495"/>
      <c r="BD567" s="2495"/>
      <c r="BE567" s="2496"/>
      <c r="BF567" s="2537">
        <f>SUM(O608:S612)</f>
        <v>40</v>
      </c>
      <c r="BG567" s="2538"/>
      <c r="BH567" s="2538"/>
      <c r="BI567" s="2538"/>
      <c r="BJ567" s="2539"/>
      <c r="BK567" s="2310">
        <f>SUM(T608:X612)</f>
        <v>22</v>
      </c>
      <c r="BL567" s="2311"/>
      <c r="BM567" s="2311"/>
      <c r="BN567" s="2311"/>
      <c r="BO567" s="2312"/>
    </row>
    <row r="568" spans="1:96" s="46" customFormat="1" ht="12.75" customHeight="1">
      <c r="A568" s="28"/>
      <c r="B568" s="57"/>
      <c r="C568" s="28"/>
      <c r="I568" s="2322" t="s">
        <v>1680</v>
      </c>
      <c r="J568" s="2323"/>
      <c r="K568" s="2323"/>
      <c r="L568" s="2323"/>
      <c r="M568" s="2323"/>
      <c r="N568" s="2324"/>
      <c r="O568" s="2345">
        <v>0.5</v>
      </c>
      <c r="P568" s="2346"/>
      <c r="Q568" s="2576"/>
      <c r="R568" s="2481"/>
      <c r="S568" s="2301"/>
      <c r="T568" s="2301"/>
      <c r="U568" s="2480" t="s">
        <v>1684</v>
      </c>
      <c r="V568" s="2480"/>
      <c r="W568" s="2535">
        <v>37.5</v>
      </c>
      <c r="X568" s="2535"/>
      <c r="Y568" s="2481"/>
      <c r="Z568" s="2481"/>
      <c r="AA568" s="2535"/>
      <c r="AB568" s="2535"/>
      <c r="AC568" s="2481"/>
      <c r="AD568" s="2481"/>
      <c r="AE568" s="2530"/>
      <c r="AF568" s="2531"/>
      <c r="AN568" s="439"/>
      <c r="CL568" s="16"/>
      <c r="CM568" s="16"/>
    </row>
    <row r="569" spans="1:96" s="46" customFormat="1" ht="12.75" customHeight="1">
      <c r="A569" s="28"/>
      <c r="B569" s="195"/>
      <c r="C569" s="101"/>
      <c r="D569" s="28"/>
      <c r="E569" s="28"/>
      <c r="I569" s="2322"/>
      <c r="J569" s="2323"/>
      <c r="K569" s="2323"/>
      <c r="L569" s="2323"/>
      <c r="M569" s="2323"/>
      <c r="N569" s="2324"/>
      <c r="O569" s="2345">
        <v>0.45</v>
      </c>
      <c r="P569" s="2346"/>
      <c r="Q569" s="2532"/>
      <c r="R569" s="2301"/>
      <c r="S569" s="2301"/>
      <c r="T569" s="2301"/>
      <c r="U569" s="2299" t="s">
        <v>145</v>
      </c>
      <c r="V569" s="2299"/>
      <c r="W569" s="2300">
        <v>33.799999999999997</v>
      </c>
      <c r="X569" s="2300"/>
      <c r="Y569" s="2300"/>
      <c r="Z569" s="2300"/>
      <c r="AA569" s="2301"/>
      <c r="AB569" s="2301"/>
      <c r="AC569" s="2300"/>
      <c r="AD569" s="2300"/>
      <c r="AE569" s="2302"/>
      <c r="AF569" s="2303"/>
      <c r="AN569" s="439"/>
      <c r="CL569" s="16"/>
      <c r="CM569" s="16"/>
    </row>
    <row r="570" spans="1:96" s="46" customFormat="1" ht="12.75" customHeight="1">
      <c r="A570" s="28"/>
      <c r="B570" s="8"/>
      <c r="C570" s="8"/>
      <c r="D570" s="8"/>
      <c r="E570" s="8"/>
      <c r="I570" s="2322"/>
      <c r="J570" s="2323"/>
      <c r="K570" s="2323"/>
      <c r="L570" s="2323"/>
      <c r="M570" s="2323"/>
      <c r="N570" s="2324"/>
      <c r="O570" s="2345">
        <v>0.4</v>
      </c>
      <c r="P570" s="2346"/>
      <c r="Q570" s="2532"/>
      <c r="R570" s="2301"/>
      <c r="S570" s="2299" t="s">
        <v>1683</v>
      </c>
      <c r="T570" s="2299"/>
      <c r="U570" s="2300">
        <v>20</v>
      </c>
      <c r="V570" s="2300"/>
      <c r="W570" s="2300">
        <v>30</v>
      </c>
      <c r="X570" s="2300"/>
      <c r="Y570" s="2300"/>
      <c r="Z570" s="2300"/>
      <c r="AA570" s="2300"/>
      <c r="AB570" s="2300"/>
      <c r="AC570" s="2300"/>
      <c r="AD570" s="2300"/>
      <c r="AE570" s="2302"/>
      <c r="AF570" s="2303"/>
      <c r="AN570" s="439"/>
      <c r="AP570" s="2497" t="s">
        <v>228</v>
      </c>
      <c r="AQ570" s="2498"/>
      <c r="AR570" s="2498"/>
      <c r="AS570" s="2498"/>
      <c r="AT570" s="2498"/>
      <c r="AU570" s="2498"/>
      <c r="AV570" s="2498"/>
      <c r="AW570" s="2498"/>
      <c r="AX570" s="2498"/>
      <c r="AY570" s="2498"/>
      <c r="AZ570" s="2498"/>
      <c r="BA570" s="2498"/>
      <c r="BB570" s="2498"/>
      <c r="BC570" s="2498"/>
      <c r="BD570" s="2498"/>
      <c r="BE570" s="2498"/>
      <c r="BF570" s="2498"/>
      <c r="BG570" s="2498"/>
      <c r="BH570" s="2498"/>
      <c r="BI570" s="2498"/>
      <c r="BJ570" s="2499"/>
      <c r="BK570" s="2512">
        <f>BF567</f>
        <v>40</v>
      </c>
      <c r="BL570" s="2513"/>
      <c r="BM570" s="2513"/>
      <c r="BN570" s="2513"/>
      <c r="BO570" s="2514"/>
      <c r="BP570" s="65"/>
      <c r="BQ570" s="65"/>
      <c r="BR570" s="65"/>
      <c r="BS570" s="65"/>
      <c r="BT570" s="65"/>
      <c r="BU570" s="65"/>
      <c r="BV570" s="65"/>
      <c r="BW570" s="65"/>
      <c r="BX570" s="65"/>
      <c r="BY570" s="65"/>
      <c r="BZ570" s="65"/>
      <c r="CA570" s="65"/>
      <c r="CB570" s="65"/>
      <c r="CC570" s="65"/>
      <c r="CD570" s="65"/>
      <c r="CE570" s="65"/>
      <c r="CF570" s="65"/>
      <c r="CG570" s="65"/>
      <c r="CH570" s="65"/>
      <c r="CI570" s="65"/>
      <c r="CJ570" s="65"/>
      <c r="CK570" s="65"/>
      <c r="CL570" s="65"/>
      <c r="CM570" s="65"/>
      <c r="CN570" s="65"/>
      <c r="CO570" s="65"/>
      <c r="CP570" s="65"/>
      <c r="CQ570" s="65"/>
      <c r="CR570" s="65"/>
    </row>
    <row r="571" spans="1:96" s="46" customFormat="1" ht="12.75" customHeight="1">
      <c r="A571" s="28"/>
      <c r="B571" s="8"/>
      <c r="C571" s="8"/>
      <c r="D571" s="8"/>
      <c r="E571" s="8"/>
      <c r="I571" s="2322"/>
      <c r="J571" s="2323"/>
      <c r="K571" s="2323"/>
      <c r="L571" s="2323"/>
      <c r="M571" s="2323"/>
      <c r="N571" s="2324"/>
      <c r="O571" s="2345">
        <v>0.35</v>
      </c>
      <c r="P571" s="2346"/>
      <c r="Q571" s="2532"/>
      <c r="R571" s="2301"/>
      <c r="S571" s="2299" t="s">
        <v>1997</v>
      </c>
      <c r="T571" s="2299"/>
      <c r="U571" s="2300">
        <v>17.5</v>
      </c>
      <c r="V571" s="2300"/>
      <c r="W571" s="2300">
        <v>26.3</v>
      </c>
      <c r="X571" s="2300"/>
      <c r="Y571" s="2300">
        <v>35</v>
      </c>
      <c r="Z571" s="2300"/>
      <c r="AA571" s="2300"/>
      <c r="AB571" s="2300"/>
      <c r="AC571" s="2300">
        <v>50</v>
      </c>
      <c r="AD571" s="2300"/>
      <c r="AE571" s="2302"/>
      <c r="AF571" s="2303"/>
      <c r="AN571" s="439"/>
      <c r="AP571" s="2500"/>
      <c r="AQ571" s="2501"/>
      <c r="AR571" s="2501"/>
      <c r="AS571" s="2501"/>
      <c r="AT571" s="2501"/>
      <c r="AU571" s="2501"/>
      <c r="AV571" s="2501"/>
      <c r="AW571" s="2501"/>
      <c r="AX571" s="2501"/>
      <c r="AY571" s="2501"/>
      <c r="AZ571" s="2501"/>
      <c r="BA571" s="2501"/>
      <c r="BB571" s="2501"/>
      <c r="BC571" s="2501"/>
      <c r="BD571" s="2501"/>
      <c r="BE571" s="2501"/>
      <c r="BF571" s="2501"/>
      <c r="BG571" s="2501"/>
      <c r="BH571" s="2501"/>
      <c r="BI571" s="2501"/>
      <c r="BJ571" s="2502"/>
      <c r="BK571" s="2515"/>
      <c r="BL571" s="2516"/>
      <c r="BM571" s="2516"/>
      <c r="BN571" s="2516"/>
      <c r="BO571" s="2517"/>
      <c r="BP571" s="65"/>
      <c r="BQ571" s="65"/>
      <c r="BR571" s="65"/>
      <c r="BS571" s="65"/>
      <c r="BT571" s="65"/>
      <c r="BU571" s="65"/>
      <c r="BV571" s="65"/>
      <c r="BW571" s="65"/>
      <c r="BX571" s="65"/>
      <c r="BY571" s="65"/>
      <c r="BZ571" s="65"/>
      <c r="CA571" s="65"/>
      <c r="CB571" s="65"/>
      <c r="CC571" s="65"/>
      <c r="CD571" s="65"/>
      <c r="CE571" s="65"/>
      <c r="CF571" s="65"/>
      <c r="CG571" s="65"/>
      <c r="CH571" s="65"/>
      <c r="CI571" s="65"/>
      <c r="CJ571" s="65"/>
      <c r="CK571" s="65"/>
      <c r="CL571" s="65"/>
      <c r="CM571" s="65"/>
      <c r="CN571" s="65"/>
      <c r="CO571" s="65"/>
      <c r="CP571" s="65"/>
      <c r="CQ571" s="65"/>
      <c r="CR571" s="65"/>
    </row>
    <row r="572" spans="1:96" s="46" customFormat="1" ht="12.75" customHeight="1">
      <c r="A572" s="28"/>
      <c r="B572" s="8"/>
      <c r="C572" s="8"/>
      <c r="D572" s="8"/>
      <c r="E572" s="8"/>
      <c r="I572" s="2322"/>
      <c r="J572" s="2323"/>
      <c r="K572" s="2323"/>
      <c r="L572" s="2323"/>
      <c r="M572" s="2323"/>
      <c r="N572" s="2324"/>
      <c r="O572" s="2345">
        <v>0.3</v>
      </c>
      <c r="P572" s="2346"/>
      <c r="Q572" s="2532"/>
      <c r="R572" s="2301"/>
      <c r="S572" s="2299" t="s">
        <v>1998</v>
      </c>
      <c r="T572" s="2299"/>
      <c r="U572" s="2300">
        <v>15</v>
      </c>
      <c r="V572" s="2300"/>
      <c r="W572" s="2300">
        <v>22.5</v>
      </c>
      <c r="X572" s="2300"/>
      <c r="Y572" s="2300">
        <v>30</v>
      </c>
      <c r="Z572" s="2300"/>
      <c r="AA572" s="2300">
        <v>37.5</v>
      </c>
      <c r="AB572" s="2300"/>
      <c r="AC572" s="2300">
        <v>45</v>
      </c>
      <c r="AD572" s="2300"/>
      <c r="AE572" s="2302"/>
      <c r="AF572" s="2303"/>
      <c r="AN572" s="439"/>
      <c r="AP572" s="132"/>
      <c r="AQ572" s="65"/>
      <c r="AR572" s="65"/>
      <c r="AS572" s="65"/>
      <c r="AT572" s="65"/>
      <c r="AU572" s="65"/>
      <c r="AV572" s="65"/>
      <c r="AW572" s="65"/>
      <c r="AX572" s="65"/>
      <c r="AY572" s="65"/>
      <c r="AZ572" s="65"/>
      <c r="BA572" s="65"/>
      <c r="BB572" s="65"/>
      <c r="BC572" s="65"/>
      <c r="BD572" s="65"/>
      <c r="BE572" s="68"/>
      <c r="BF572" s="68"/>
      <c r="BG572" s="68"/>
      <c r="BH572" s="68"/>
      <c r="BI572" s="68"/>
      <c r="BJ572" s="2119">
        <v>5</v>
      </c>
      <c r="BK572" s="2490"/>
      <c r="BL572" s="2490"/>
      <c r="BM572" s="2490"/>
      <c r="BN572" s="2120"/>
      <c r="BO572" s="2119">
        <v>4</v>
      </c>
      <c r="BP572" s="2490"/>
      <c r="BQ572" s="2490"/>
      <c r="BR572" s="2490"/>
      <c r="BS572" s="2120"/>
      <c r="BT572" s="2119">
        <v>3</v>
      </c>
      <c r="BU572" s="2490"/>
      <c r="BV572" s="2490"/>
      <c r="BW572" s="2490"/>
      <c r="BX572" s="2120"/>
      <c r="BY572" s="2119">
        <v>2</v>
      </c>
      <c r="BZ572" s="2490"/>
      <c r="CA572" s="2490"/>
      <c r="CB572" s="2490"/>
      <c r="CC572" s="2120"/>
      <c r="CD572" s="2119">
        <v>1</v>
      </c>
      <c r="CE572" s="2490"/>
      <c r="CF572" s="2490"/>
      <c r="CG572" s="2490"/>
      <c r="CH572" s="2120"/>
      <c r="CI572" s="2119">
        <v>0</v>
      </c>
      <c r="CJ572" s="2490"/>
      <c r="CK572" s="2490"/>
      <c r="CL572" s="2490"/>
      <c r="CM572" s="2120"/>
      <c r="CN572" s="65"/>
      <c r="CO572" s="65"/>
      <c r="CP572" s="65"/>
      <c r="CQ572" s="65"/>
      <c r="CR572" s="65"/>
    </row>
    <row r="573" spans="1:96" s="46" customFormat="1" ht="12.75" customHeight="1">
      <c r="A573" s="28"/>
      <c r="B573" s="8"/>
      <c r="C573" s="8"/>
      <c r="D573" s="8"/>
      <c r="E573" s="8"/>
      <c r="I573" s="2322"/>
      <c r="J573" s="2323"/>
      <c r="K573" s="2323"/>
      <c r="L573" s="2323"/>
      <c r="M573" s="2323"/>
      <c r="N573" s="2324"/>
      <c r="O573" s="2345">
        <v>0.25</v>
      </c>
      <c r="P573" s="2346"/>
      <c r="Q573" s="2532"/>
      <c r="R573" s="2301"/>
      <c r="S573" s="2299" t="s">
        <v>1999</v>
      </c>
      <c r="T573" s="2299"/>
      <c r="U573" s="2300">
        <v>12.5</v>
      </c>
      <c r="V573" s="2300"/>
      <c r="W573" s="2300">
        <v>18.8</v>
      </c>
      <c r="X573" s="2300"/>
      <c r="Y573" s="2300">
        <v>25</v>
      </c>
      <c r="Z573" s="2300"/>
      <c r="AA573" s="2300">
        <v>31.3</v>
      </c>
      <c r="AB573" s="2300"/>
      <c r="AC573" s="2300">
        <v>37.5</v>
      </c>
      <c r="AD573" s="2300"/>
      <c r="AE573" s="2302">
        <v>50</v>
      </c>
      <c r="AF573" s="2303"/>
      <c r="AN573" s="439"/>
      <c r="AP573" s="2509" t="str">
        <f t="shared" ref="AP573:AP579" si="0">J607</f>
        <v>5 BR</v>
      </c>
      <c r="AQ573" s="2510"/>
      <c r="AR573" s="2510"/>
      <c r="AS573" s="2510"/>
      <c r="AT573" s="2511"/>
      <c r="AU573" s="2505">
        <f t="shared" ref="AU573:AU578" si="1">O607</f>
        <v>0</v>
      </c>
      <c r="AV573" s="2506"/>
      <c r="AW573" s="2506"/>
      <c r="AX573" s="2506"/>
      <c r="AY573" s="2507"/>
      <c r="AZ573" s="2505">
        <f t="shared" ref="AZ573:AZ578" si="2">T607</f>
        <v>0</v>
      </c>
      <c r="BA573" s="2506"/>
      <c r="BB573" s="2506"/>
      <c r="BC573" s="2506"/>
      <c r="BD573" s="2507"/>
      <c r="BE573" s="2137">
        <f t="shared" ref="BE573:BE578" si="3">Y607</f>
        <v>0</v>
      </c>
      <c r="BF573" s="2138"/>
      <c r="BG573" s="2138"/>
      <c r="BH573" s="2138"/>
      <c r="BI573" s="2139"/>
      <c r="BJ573" s="2119">
        <f>IF(OR(AP583=0,BE573&gt;=0.1),0,1)</f>
        <v>0</v>
      </c>
      <c r="BK573" s="2490"/>
      <c r="BL573" s="2490"/>
      <c r="BM573" s="2490"/>
      <c r="BN573" s="2120"/>
      <c r="BO573" s="2119"/>
      <c r="BP573" s="2490"/>
      <c r="BQ573" s="2490"/>
      <c r="BR573" s="2490"/>
      <c r="BS573" s="2120"/>
      <c r="BT573" s="2119"/>
      <c r="BU573" s="2490"/>
      <c r="BV573" s="2490"/>
      <c r="BW573" s="2490"/>
      <c r="BX573" s="2120"/>
      <c r="BY573" s="2119"/>
      <c r="BZ573" s="2490"/>
      <c r="CA573" s="2490"/>
      <c r="CB573" s="2490"/>
      <c r="CC573" s="2120"/>
      <c r="CD573" s="2119"/>
      <c r="CE573" s="2490"/>
      <c r="CF573" s="2490"/>
      <c r="CG573" s="2490"/>
      <c r="CH573" s="2120"/>
      <c r="CI573" s="2119"/>
      <c r="CJ573" s="2490"/>
      <c r="CK573" s="2490"/>
      <c r="CL573" s="2490"/>
      <c r="CM573" s="2120"/>
      <c r="CN573" s="65"/>
      <c r="CO573" s="65"/>
      <c r="CP573" s="65"/>
      <c r="CQ573" s="65"/>
      <c r="CR573" s="65"/>
    </row>
    <row r="574" spans="1:96" s="46" customFormat="1" ht="12.75" customHeight="1">
      <c r="A574" s="195"/>
      <c r="B574" s="8"/>
      <c r="C574" s="8"/>
      <c r="D574" s="8"/>
      <c r="E574" s="8"/>
      <c r="I574" s="2322"/>
      <c r="J574" s="2323"/>
      <c r="K574" s="2323"/>
      <c r="L574" s="2323"/>
      <c r="M574" s="2323"/>
      <c r="N574" s="2324"/>
      <c r="O574" s="2345">
        <v>0.2</v>
      </c>
      <c r="P574" s="2346"/>
      <c r="Q574" s="2532"/>
      <c r="R574" s="2301"/>
      <c r="S574" s="2543" t="s">
        <v>2002</v>
      </c>
      <c r="T574" s="2543"/>
      <c r="U574" s="2300">
        <v>10</v>
      </c>
      <c r="V574" s="2300"/>
      <c r="W574" s="2300">
        <v>15</v>
      </c>
      <c r="X574" s="2300"/>
      <c r="Y574" s="2300">
        <v>20</v>
      </c>
      <c r="Z574" s="2300"/>
      <c r="AA574" s="2300">
        <v>25</v>
      </c>
      <c r="AB574" s="2300"/>
      <c r="AC574" s="2300">
        <v>30</v>
      </c>
      <c r="AD574" s="2300"/>
      <c r="AE574" s="2302">
        <v>40</v>
      </c>
      <c r="AF574" s="2303"/>
      <c r="AN574" s="439"/>
      <c r="AP574" s="2509" t="str">
        <f t="shared" si="0"/>
        <v>4 BR</v>
      </c>
      <c r="AQ574" s="2510"/>
      <c r="AR574" s="2510"/>
      <c r="AS574" s="2510"/>
      <c r="AT574" s="2511"/>
      <c r="AU574" s="2505">
        <f t="shared" si="1"/>
        <v>0</v>
      </c>
      <c r="AV574" s="2506"/>
      <c r="AW574" s="2506"/>
      <c r="AX574" s="2506"/>
      <c r="AY574" s="2507"/>
      <c r="AZ574" s="2505">
        <f t="shared" si="2"/>
        <v>0</v>
      </c>
      <c r="BA574" s="2506"/>
      <c r="BB574" s="2506"/>
      <c r="BC574" s="2506"/>
      <c r="BD574" s="2507"/>
      <c r="BE574" s="2137">
        <f t="shared" si="3"/>
        <v>0</v>
      </c>
      <c r="BF574" s="2138"/>
      <c r="BG574" s="2138"/>
      <c r="BH574" s="2138"/>
      <c r="BI574" s="2139"/>
      <c r="BJ574" s="2119"/>
      <c r="BK574" s="2490"/>
      <c r="BL574" s="2490"/>
      <c r="BM574" s="2490"/>
      <c r="BN574" s="2120"/>
      <c r="BO574" s="2119">
        <f>IF(AND(AND(AZ573=0,BJ573=0,AP584=1)),1,0)</f>
        <v>0</v>
      </c>
      <c r="BP574" s="2490"/>
      <c r="BQ574" s="2490"/>
      <c r="BR574" s="2490"/>
      <c r="BS574" s="2120"/>
      <c r="BT574" s="2119"/>
      <c r="BU574" s="2490"/>
      <c r="BV574" s="2490"/>
      <c r="BW574" s="2490"/>
      <c r="BX574" s="2120"/>
      <c r="BY574" s="2119"/>
      <c r="BZ574" s="2490"/>
      <c r="CA574" s="2490"/>
      <c r="CB574" s="2490"/>
      <c r="CC574" s="2120"/>
      <c r="CD574" s="2119"/>
      <c r="CE574" s="2490"/>
      <c r="CF574" s="2490"/>
      <c r="CG574" s="2490"/>
      <c r="CH574" s="2120"/>
      <c r="CI574" s="2119"/>
      <c r="CJ574" s="2490"/>
      <c r="CK574" s="2490"/>
      <c r="CL574" s="2490"/>
      <c r="CM574" s="2120"/>
      <c r="CN574" s="65"/>
      <c r="CO574" s="65"/>
      <c r="CP574" s="65"/>
      <c r="CQ574" s="65"/>
      <c r="CR574" s="65"/>
    </row>
    <row r="575" spans="1:96" s="46" customFormat="1" ht="12.75" customHeight="1">
      <c r="A575" s="195"/>
      <c r="B575" s="8"/>
      <c r="C575" s="8"/>
      <c r="D575" s="8"/>
      <c r="E575" s="8"/>
      <c r="I575" s="2322"/>
      <c r="J575" s="2323"/>
      <c r="K575" s="2323"/>
      <c r="L575" s="2323"/>
      <c r="M575" s="2323"/>
      <c r="N575" s="2324"/>
      <c r="O575" s="2345">
        <v>0.15</v>
      </c>
      <c r="P575" s="2346"/>
      <c r="Q575" s="2532"/>
      <c r="R575" s="2301"/>
      <c r="S575" s="2299" t="s">
        <v>2000</v>
      </c>
      <c r="T575" s="2299"/>
      <c r="U575" s="2300">
        <v>7.5</v>
      </c>
      <c r="V575" s="2300"/>
      <c r="W575" s="2300">
        <v>11.3</v>
      </c>
      <c r="X575" s="2300"/>
      <c r="Y575" s="2300">
        <v>15</v>
      </c>
      <c r="Z575" s="2300"/>
      <c r="AA575" s="2300">
        <v>18.8</v>
      </c>
      <c r="AB575" s="2300"/>
      <c r="AC575" s="2300">
        <v>22.5</v>
      </c>
      <c r="AD575" s="2300"/>
      <c r="AE575" s="2302">
        <v>30</v>
      </c>
      <c r="AF575" s="2303"/>
      <c r="AK575" s="153"/>
      <c r="AL575" s="153"/>
      <c r="AM575" s="153"/>
      <c r="AN575" s="439"/>
      <c r="AP575" s="2509" t="str">
        <f t="shared" si="0"/>
        <v>3 BR</v>
      </c>
      <c r="AQ575" s="2510"/>
      <c r="AR575" s="2510"/>
      <c r="AS575" s="2510"/>
      <c r="AT575" s="2511"/>
      <c r="AU575" s="2505">
        <f t="shared" si="1"/>
        <v>5</v>
      </c>
      <c r="AV575" s="2506"/>
      <c r="AW575" s="2506"/>
      <c r="AX575" s="2506"/>
      <c r="AY575" s="2507"/>
      <c r="AZ575" s="2505">
        <f t="shared" si="2"/>
        <v>1</v>
      </c>
      <c r="BA575" s="2506"/>
      <c r="BB575" s="2506"/>
      <c r="BC575" s="2506"/>
      <c r="BD575" s="2507"/>
      <c r="BE575" s="2137">
        <f t="shared" si="3"/>
        <v>0.2</v>
      </c>
      <c r="BF575" s="2138"/>
      <c r="BG575" s="2138"/>
      <c r="BH575" s="2138"/>
      <c r="BI575" s="2139"/>
      <c r="BJ575" s="2119"/>
      <c r="BK575" s="2490"/>
      <c r="BL575" s="2490"/>
      <c r="BM575" s="2490"/>
      <c r="BN575" s="2120"/>
      <c r="BO575" s="2119"/>
      <c r="BP575" s="2490"/>
      <c r="BQ575" s="2490"/>
      <c r="BR575" s="2490"/>
      <c r="BS575" s="2120"/>
      <c r="BT575" s="2119">
        <f>IF(AND(AND(AZ573+AZ574=0,BJ573+BO574=0,AP585=1)),1,0)</f>
        <v>0</v>
      </c>
      <c r="BU575" s="2490"/>
      <c r="BV575" s="2490"/>
      <c r="BW575" s="2490"/>
      <c r="BX575" s="2120"/>
      <c r="BY575" s="2119"/>
      <c r="BZ575" s="2490"/>
      <c r="CA575" s="2490"/>
      <c r="CB575" s="2490"/>
      <c r="CC575" s="2120"/>
      <c r="CD575" s="2119"/>
      <c r="CE575" s="2490"/>
      <c r="CF575" s="2490"/>
      <c r="CG575" s="2490"/>
      <c r="CH575" s="2120"/>
      <c r="CI575" s="2119"/>
      <c r="CJ575" s="2490"/>
      <c r="CK575" s="2490"/>
      <c r="CL575" s="2490"/>
      <c r="CM575" s="2120"/>
      <c r="CN575" s="65"/>
      <c r="CO575" s="65"/>
      <c r="CP575" s="65"/>
      <c r="CQ575" s="65"/>
      <c r="CR575" s="65"/>
    </row>
    <row r="576" spans="1:96" s="46" customFormat="1" ht="12.75" customHeight="1" thickBot="1">
      <c r="B576" s="8"/>
      <c r="C576" s="8"/>
      <c r="D576" s="8"/>
      <c r="E576" s="8"/>
      <c r="I576" s="2375"/>
      <c r="J576" s="2376"/>
      <c r="K576" s="2376"/>
      <c r="L576" s="2376"/>
      <c r="M576" s="2376"/>
      <c r="N576" s="2377"/>
      <c r="O576" s="2345">
        <v>0.1</v>
      </c>
      <c r="P576" s="2346"/>
      <c r="Q576" s="2541"/>
      <c r="R576" s="2542"/>
      <c r="S576" s="2299" t="s">
        <v>2001</v>
      </c>
      <c r="T576" s="2299"/>
      <c r="U576" s="2397">
        <v>5</v>
      </c>
      <c r="V576" s="2397"/>
      <c r="W576" s="2397">
        <v>7.5</v>
      </c>
      <c r="X576" s="2397"/>
      <c r="Y576" s="2397">
        <v>10</v>
      </c>
      <c r="Z576" s="2397"/>
      <c r="AA576" s="2397">
        <v>12.5</v>
      </c>
      <c r="AB576" s="2397"/>
      <c r="AC576" s="2397">
        <v>15</v>
      </c>
      <c r="AD576" s="2397"/>
      <c r="AE576" s="2304">
        <v>20</v>
      </c>
      <c r="AF576" s="2305"/>
      <c r="AK576" s="252"/>
      <c r="AL576" s="252"/>
      <c r="AM576" s="8"/>
      <c r="AN576" s="439"/>
      <c r="AP576" s="2509" t="str">
        <f t="shared" si="0"/>
        <v>2 BR</v>
      </c>
      <c r="AQ576" s="2510"/>
      <c r="AR576" s="2510"/>
      <c r="AS576" s="2510"/>
      <c r="AT576" s="2511"/>
      <c r="AU576" s="2505">
        <f t="shared" si="1"/>
        <v>8</v>
      </c>
      <c r="AV576" s="2506"/>
      <c r="AW576" s="2506"/>
      <c r="AX576" s="2506"/>
      <c r="AY576" s="2507"/>
      <c r="AZ576" s="2505">
        <f t="shared" si="2"/>
        <v>1</v>
      </c>
      <c r="BA576" s="2506"/>
      <c r="BB576" s="2506"/>
      <c r="BC576" s="2506"/>
      <c r="BD576" s="2507"/>
      <c r="BE576" s="2137">
        <f t="shared" si="3"/>
        <v>0.125</v>
      </c>
      <c r="BF576" s="2138"/>
      <c r="BG576" s="2138"/>
      <c r="BH576" s="2138"/>
      <c r="BI576" s="2139"/>
      <c r="BJ576" s="2119"/>
      <c r="BK576" s="2490"/>
      <c r="BL576" s="2490"/>
      <c r="BM576" s="2490"/>
      <c r="BN576" s="2120"/>
      <c r="BO576" s="2119"/>
      <c r="BP576" s="2490"/>
      <c r="BQ576" s="2490"/>
      <c r="BR576" s="2490"/>
      <c r="BS576" s="2120"/>
      <c r="BT576" s="2119"/>
      <c r="BU576" s="2490"/>
      <c r="BV576" s="2490"/>
      <c r="BW576" s="2490"/>
      <c r="BX576" s="2120"/>
      <c r="BY576" s="2119">
        <f>IF(AND(AND(AZ573+AZ574+AZ575=0,BO574+BT575+BJ573=0,AP586=1)),1,0)</f>
        <v>0</v>
      </c>
      <c r="BZ576" s="2490"/>
      <c r="CA576" s="2490"/>
      <c r="CB576" s="2490"/>
      <c r="CC576" s="2120"/>
      <c r="CD576" s="2119"/>
      <c r="CE576" s="2490"/>
      <c r="CF576" s="2490"/>
      <c r="CG576" s="2490"/>
      <c r="CH576" s="2120"/>
      <c r="CI576" s="2119"/>
      <c r="CJ576" s="2490"/>
      <c r="CK576" s="2490"/>
      <c r="CL576" s="2490"/>
      <c r="CM576" s="2120"/>
      <c r="CN576" s="65"/>
      <c r="CO576" s="65"/>
      <c r="CP576" s="65"/>
      <c r="CQ576" s="65"/>
      <c r="CR576" s="65"/>
    </row>
    <row r="577" spans="2:96" s="46" customFormat="1" ht="12.75" customHeight="1">
      <c r="B577" s="8"/>
      <c r="C577" s="8"/>
      <c r="D577" s="8"/>
      <c r="E577" s="2022" t="s">
        <v>1043</v>
      </c>
      <c r="F577" s="2019"/>
      <c r="G577" s="2019"/>
      <c r="H577" s="2019"/>
      <c r="I577" s="2019"/>
      <c r="J577" s="2019"/>
      <c r="K577" s="2019"/>
      <c r="L577" s="2019"/>
      <c r="M577" s="2019"/>
      <c r="N577" s="2019"/>
      <c r="O577" s="2019"/>
      <c r="P577" s="2019"/>
      <c r="Q577" s="2019"/>
      <c r="R577" s="2019"/>
      <c r="S577" s="2019"/>
      <c r="T577" s="2019"/>
      <c r="U577" s="2019"/>
      <c r="V577" s="2019"/>
      <c r="W577" s="2019"/>
      <c r="X577" s="2019"/>
      <c r="Y577" s="2019"/>
      <c r="Z577" s="2019"/>
      <c r="AA577" s="2019"/>
      <c r="AB577" s="2019"/>
      <c r="AC577" s="2019"/>
      <c r="AD577" s="2019"/>
      <c r="AE577" s="2019"/>
      <c r="AF577" s="2019"/>
      <c r="AG577" s="2019"/>
      <c r="AH577" s="2020"/>
      <c r="AK577" s="252"/>
      <c r="AL577" s="252"/>
      <c r="AM577" s="8"/>
      <c r="AN577" s="439"/>
      <c r="AP577" s="2509" t="str">
        <f t="shared" si="0"/>
        <v>1 BR</v>
      </c>
      <c r="AQ577" s="2510"/>
      <c r="AR577" s="2510"/>
      <c r="AS577" s="2510"/>
      <c r="AT577" s="2511"/>
      <c r="AU577" s="2505">
        <f t="shared" si="1"/>
        <v>12</v>
      </c>
      <c r="AV577" s="2506"/>
      <c r="AW577" s="2506"/>
      <c r="AX577" s="2506"/>
      <c r="AY577" s="2507"/>
      <c r="AZ577" s="2505">
        <f t="shared" si="2"/>
        <v>5</v>
      </c>
      <c r="BA577" s="2506"/>
      <c r="BB577" s="2506"/>
      <c r="BC577" s="2506"/>
      <c r="BD577" s="2507"/>
      <c r="BE577" s="2137">
        <f t="shared" si="3"/>
        <v>0.41666666666666669</v>
      </c>
      <c r="BF577" s="2138"/>
      <c r="BG577" s="2138"/>
      <c r="BH577" s="2138"/>
      <c r="BI577" s="2139"/>
      <c r="BJ577" s="2119"/>
      <c r="BK577" s="2490"/>
      <c r="BL577" s="2490"/>
      <c r="BM577" s="2490"/>
      <c r="BN577" s="2120"/>
      <c r="BO577" s="2119"/>
      <c r="BP577" s="2490"/>
      <c r="BQ577" s="2490"/>
      <c r="BR577" s="2490"/>
      <c r="BS577" s="2120"/>
      <c r="BT577" s="2119"/>
      <c r="BU577" s="2490"/>
      <c r="BV577" s="2490"/>
      <c r="BW577" s="2490"/>
      <c r="BX577" s="2120"/>
      <c r="BY577" s="2119"/>
      <c r="BZ577" s="2490"/>
      <c r="CA577" s="2490"/>
      <c r="CB577" s="2490"/>
      <c r="CC577" s="2120"/>
      <c r="CD577" s="2119">
        <f>IF(AND(AND(BE574+BE575+BE576+BE573=0,BT575+BY576+BO574+BJ573=0,AP587=1)),1,0)</f>
        <v>0</v>
      </c>
      <c r="CE577" s="2490"/>
      <c r="CF577" s="2490"/>
      <c r="CG577" s="2490"/>
      <c r="CH577" s="2120"/>
      <c r="CI577" s="2119"/>
      <c r="CJ577" s="2490"/>
      <c r="CK577" s="2490"/>
      <c r="CL577" s="2490"/>
      <c r="CM577" s="2120"/>
      <c r="CN577" s="65"/>
      <c r="CO577" s="65"/>
      <c r="CP577" s="65"/>
      <c r="CQ577" s="65"/>
      <c r="CR577" s="65"/>
    </row>
    <row r="578" spans="2:96" s="46" customFormat="1" ht="12.75" customHeight="1">
      <c r="E578" s="2038"/>
      <c r="F578" s="2099"/>
      <c r="G578" s="2099"/>
      <c r="H578" s="2099"/>
      <c r="I578" s="2099"/>
      <c r="J578" s="2099"/>
      <c r="K578" s="2099"/>
      <c r="L578" s="2099"/>
      <c r="M578" s="2099"/>
      <c r="N578" s="2099"/>
      <c r="O578" s="2099"/>
      <c r="P578" s="2099"/>
      <c r="Q578" s="2099"/>
      <c r="R578" s="2099"/>
      <c r="S578" s="2099"/>
      <c r="T578" s="2099"/>
      <c r="U578" s="2099"/>
      <c r="V578" s="2099"/>
      <c r="W578" s="2099"/>
      <c r="X578" s="2099"/>
      <c r="Y578" s="2099"/>
      <c r="Z578" s="2099"/>
      <c r="AA578" s="2099"/>
      <c r="AB578" s="2099"/>
      <c r="AC578" s="2099"/>
      <c r="AD578" s="2099"/>
      <c r="AE578" s="2099"/>
      <c r="AF578" s="2099"/>
      <c r="AG578" s="2099"/>
      <c r="AH578" s="2401"/>
      <c r="AN578" s="439"/>
      <c r="AP578" s="2509" t="str">
        <f t="shared" si="0"/>
        <v>SRO</v>
      </c>
      <c r="AQ578" s="2510"/>
      <c r="AR578" s="2510"/>
      <c r="AS578" s="2510"/>
      <c r="AT578" s="2511"/>
      <c r="AU578" s="2505">
        <f t="shared" si="1"/>
        <v>15</v>
      </c>
      <c r="AV578" s="2506"/>
      <c r="AW578" s="2506"/>
      <c r="AX578" s="2506"/>
      <c r="AY578" s="2507"/>
      <c r="AZ578" s="2505">
        <f t="shared" si="2"/>
        <v>15</v>
      </c>
      <c r="BA578" s="2506"/>
      <c r="BB578" s="2506"/>
      <c r="BC578" s="2506"/>
      <c r="BD578" s="2507"/>
      <c r="BE578" s="2137">
        <f t="shared" si="3"/>
        <v>1</v>
      </c>
      <c r="BF578" s="2138"/>
      <c r="BG578" s="2138"/>
      <c r="BH578" s="2138"/>
      <c r="BI578" s="2139"/>
      <c r="BJ578" s="2119"/>
      <c r="BK578" s="2490"/>
      <c r="BL578" s="2490"/>
      <c r="BM578" s="2490"/>
      <c r="BN578" s="2120"/>
      <c r="BO578" s="2119"/>
      <c r="BP578" s="2490"/>
      <c r="BQ578" s="2490"/>
      <c r="BR578" s="2490"/>
      <c r="BS578" s="2120"/>
      <c r="BT578" s="2119"/>
      <c r="BU578" s="2490"/>
      <c r="BV578" s="2490"/>
      <c r="BW578" s="2490"/>
      <c r="BX578" s="2120"/>
      <c r="BY578" s="2119"/>
      <c r="BZ578" s="2490"/>
      <c r="CA578" s="2490"/>
      <c r="CB578" s="2490"/>
      <c r="CC578" s="2120"/>
      <c r="CD578" s="2119"/>
      <c r="CE578" s="2490"/>
      <c r="CF578" s="2490"/>
      <c r="CG578" s="2490"/>
      <c r="CH578" s="2120"/>
      <c r="CI578" s="2119">
        <f>IF(AND(AND(AZ575+AZ576+AZ577+AZ574+AZ573=0,BY576+CD577+BT575+BO574+BJ573=0,AP588=1)),1,0)</f>
        <v>0</v>
      </c>
      <c r="CJ578" s="2490"/>
      <c r="CK578" s="2490"/>
      <c r="CL578" s="2490"/>
      <c r="CM578" s="2120"/>
      <c r="CN578" s="65"/>
      <c r="CO578" s="65"/>
      <c r="CP578" s="65"/>
      <c r="CQ578" s="65"/>
      <c r="CR578" s="65"/>
    </row>
    <row r="579" spans="2:96" s="46" customFormat="1" ht="12.75" customHeight="1">
      <c r="E579" s="2313" t="s">
        <v>1690</v>
      </c>
      <c r="F579" s="2314"/>
      <c r="G579" s="2314"/>
      <c r="H579" s="2314"/>
      <c r="I579" s="2314"/>
      <c r="J579" s="2315"/>
      <c r="K579" s="2313" t="s">
        <v>1993</v>
      </c>
      <c r="L579" s="2314"/>
      <c r="M579" s="2314"/>
      <c r="N579" s="2314"/>
      <c r="O579" s="2314"/>
      <c r="P579" s="2315"/>
      <c r="Q579" s="2319" t="s">
        <v>1686</v>
      </c>
      <c r="R579" s="2320"/>
      <c r="S579" s="2320"/>
      <c r="T579" s="2320"/>
      <c r="U579" s="2320"/>
      <c r="V579" s="2321"/>
      <c r="W579" s="2319" t="str">
        <f>I568</f>
        <v>Percent of Low-Income Units (exclusive of manager’s units)</v>
      </c>
      <c r="X579" s="2320"/>
      <c r="Y579" s="2320"/>
      <c r="Z579" s="2320"/>
      <c r="AA579" s="2320"/>
      <c r="AB579" s="2321"/>
      <c r="AC579" s="2319" t="s">
        <v>1689</v>
      </c>
      <c r="AD579" s="2320"/>
      <c r="AE579" s="2320"/>
      <c r="AF579" s="2320"/>
      <c r="AG579" s="2320"/>
      <c r="AH579" s="2321"/>
      <c r="AN579" s="439"/>
      <c r="AP579" s="2509" t="str">
        <f t="shared" si="0"/>
        <v>Total:</v>
      </c>
      <c r="AQ579" s="2510"/>
      <c r="AR579" s="2510"/>
      <c r="AS579" s="2510"/>
      <c r="AT579" s="2511"/>
      <c r="AU579" s="2509"/>
      <c r="AV579" s="2510"/>
      <c r="AW579" s="2510"/>
      <c r="AX579" s="2510"/>
      <c r="AY579" s="2511"/>
      <c r="AZ579" s="2509"/>
      <c r="BA579" s="2510"/>
      <c r="BB579" s="2510"/>
      <c r="BC579" s="2510"/>
      <c r="BD579" s="2511"/>
      <c r="BE579" s="2509"/>
      <c r="BF579" s="2510"/>
      <c r="BG579" s="2510"/>
      <c r="BH579" s="2510"/>
      <c r="BI579" s="2511"/>
      <c r="BJ579" s="2119">
        <f>SUM(BJ573:BN578)</f>
        <v>0</v>
      </c>
      <c r="BK579" s="2490"/>
      <c r="BL579" s="2490"/>
      <c r="BM579" s="2490"/>
      <c r="BN579" s="2120"/>
      <c r="BO579" s="2119">
        <f>SUM(BO573:BS578)</f>
        <v>0</v>
      </c>
      <c r="BP579" s="2490"/>
      <c r="BQ579" s="2490"/>
      <c r="BR579" s="2490"/>
      <c r="BS579" s="2120"/>
      <c r="BT579" s="2119">
        <f>SUM(BT573:BX578)</f>
        <v>0</v>
      </c>
      <c r="BU579" s="2490"/>
      <c r="BV579" s="2490"/>
      <c r="BW579" s="2490"/>
      <c r="BX579" s="2120"/>
      <c r="BY579" s="2119">
        <f>SUM(BY573:CC578)</f>
        <v>0</v>
      </c>
      <c r="BZ579" s="2490"/>
      <c r="CA579" s="2490"/>
      <c r="CB579" s="2490"/>
      <c r="CC579" s="2120"/>
      <c r="CD579" s="2119">
        <f>SUM(CD573:CH578)</f>
        <v>0</v>
      </c>
      <c r="CE579" s="2490"/>
      <c r="CF579" s="2490"/>
      <c r="CG579" s="2490"/>
      <c r="CH579" s="2120"/>
      <c r="CI579" s="2119">
        <f>SUM(CI573:CM578)</f>
        <v>0</v>
      </c>
      <c r="CJ579" s="2490"/>
      <c r="CK579" s="2490"/>
      <c r="CL579" s="2490"/>
      <c r="CM579" s="2120"/>
      <c r="CN579" s="2119">
        <f>SUM(BJ579:CM579)</f>
        <v>0</v>
      </c>
      <c r="CO579" s="2490"/>
      <c r="CP579" s="2490"/>
      <c r="CQ579" s="2490"/>
      <c r="CR579" s="2120"/>
    </row>
    <row r="580" spans="2:96" s="46" customFormat="1" ht="12.75" customHeight="1">
      <c r="E580" s="2316"/>
      <c r="F580" s="2317"/>
      <c r="G580" s="2317"/>
      <c r="H580" s="2317"/>
      <c r="I580" s="2317"/>
      <c r="J580" s="2318"/>
      <c r="K580" s="2316"/>
      <c r="L580" s="2317"/>
      <c r="M580" s="2317"/>
      <c r="N580" s="2317"/>
      <c r="O580" s="2317"/>
      <c r="P580" s="2318"/>
      <c r="Q580" s="2322"/>
      <c r="R580" s="2323"/>
      <c r="S580" s="2323"/>
      <c r="T580" s="2323"/>
      <c r="U580" s="2323"/>
      <c r="V580" s="2324"/>
      <c r="W580" s="2322"/>
      <c r="X580" s="2323"/>
      <c r="Y580" s="2323"/>
      <c r="Z580" s="2323"/>
      <c r="AA580" s="2323"/>
      <c r="AB580" s="2324"/>
      <c r="AC580" s="2322"/>
      <c r="AD580" s="2323"/>
      <c r="AE580" s="2323"/>
      <c r="AF580" s="2323"/>
      <c r="AG580" s="2323"/>
      <c r="AH580" s="2324"/>
      <c r="AN580" s="439"/>
    </row>
    <row r="581" spans="2:96" s="46" customFormat="1" ht="12.75" customHeight="1">
      <c r="E581" s="2316"/>
      <c r="F581" s="2317"/>
      <c r="G581" s="2317"/>
      <c r="H581" s="2317"/>
      <c r="I581" s="2317"/>
      <c r="J581" s="2318"/>
      <c r="K581" s="2316"/>
      <c r="L581" s="2317"/>
      <c r="M581" s="2317"/>
      <c r="N581" s="2317"/>
      <c r="O581" s="2317"/>
      <c r="P581" s="2318"/>
      <c r="Q581" s="2322"/>
      <c r="R581" s="2323"/>
      <c r="S581" s="2323"/>
      <c r="T581" s="2323"/>
      <c r="U581" s="2323"/>
      <c r="V581" s="2324"/>
      <c r="W581" s="2322"/>
      <c r="X581" s="2323"/>
      <c r="Y581" s="2323"/>
      <c r="Z581" s="2323"/>
      <c r="AA581" s="2323"/>
      <c r="AB581" s="2324"/>
      <c r="AC581" s="2322"/>
      <c r="AD581" s="2323"/>
      <c r="AE581" s="2323"/>
      <c r="AF581" s="2323"/>
      <c r="AG581" s="2323"/>
      <c r="AH581" s="2324"/>
      <c r="AN581" s="439"/>
    </row>
    <row r="582" spans="2:96" s="46" customFormat="1" ht="12.75" customHeight="1">
      <c r="E582" s="2316"/>
      <c r="F582" s="2317"/>
      <c r="G582" s="2317"/>
      <c r="H582" s="2317"/>
      <c r="I582" s="2317"/>
      <c r="J582" s="2318"/>
      <c r="K582" s="2316"/>
      <c r="L582" s="2317"/>
      <c r="M582" s="2317"/>
      <c r="N582" s="2317"/>
      <c r="O582" s="2317"/>
      <c r="P582" s="2318"/>
      <c r="Q582" s="2322"/>
      <c r="R582" s="2323"/>
      <c r="S582" s="2323"/>
      <c r="T582" s="2323"/>
      <c r="U582" s="2323"/>
      <c r="V582" s="2324"/>
      <c r="W582" s="2322"/>
      <c r="X582" s="2323"/>
      <c r="Y582" s="2323"/>
      <c r="Z582" s="2323"/>
      <c r="AA582" s="2323"/>
      <c r="AB582" s="2324"/>
      <c r="AC582" s="2322"/>
      <c r="AD582" s="2323"/>
      <c r="AE582" s="2323"/>
      <c r="AF582" s="2323"/>
      <c r="AG582" s="2323"/>
      <c r="AH582" s="2324"/>
      <c r="AN582" s="439"/>
      <c r="AP582" s="63" t="s">
        <v>1249</v>
      </c>
      <c r="BH582" s="63" t="s">
        <v>1250</v>
      </c>
    </row>
    <row r="583" spans="2:96" s="46" customFormat="1" ht="12.75" customHeight="1">
      <c r="E583" s="2307"/>
      <c r="F583" s="2308"/>
      <c r="G583" s="2308"/>
      <c r="H583" s="2308"/>
      <c r="I583" s="2308"/>
      <c r="J583" s="2309"/>
      <c r="K583" s="2310">
        <v>20</v>
      </c>
      <c r="L583" s="2311"/>
      <c r="M583" s="2311"/>
      <c r="N583" s="2311"/>
      <c r="O583" s="2311"/>
      <c r="P583" s="2312"/>
      <c r="Q583" s="2402">
        <f t="shared" ref="Q583" si="4">IF(ISERROR(IF((((E583/$BJ$530)*100)&gt;100),"EXCESSIVE VALUE",(E583/$BJ$530)*100)),0,IF((((E583/$BJ$530)*100)&gt;100),"EXCESSIVE VALUE",(E583/$BJ$530)*100))</f>
        <v>0</v>
      </c>
      <c r="R583" s="2403"/>
      <c r="S583" s="2403"/>
      <c r="T583" s="2403"/>
      <c r="U583" s="2403"/>
      <c r="V583" s="2404"/>
      <c r="W583" s="2325">
        <f>IF(FLOOR(Q583,5)&gt;80,80,FLOOR(Q583,5))</f>
        <v>0</v>
      </c>
      <c r="X583" s="2326"/>
      <c r="Y583" s="2326"/>
      <c r="Z583" s="2326"/>
      <c r="AA583" s="2326"/>
      <c r="AB583" s="2327"/>
      <c r="AC583" s="2325">
        <f t="shared" ref="AC583:AC588" si="5">IF(W583&gt;0,INDEX($BI$509:$BP$523,MATCH(W583,$BH$509:$BH$523,0),MATCH(K583,$BI$508:$BP$508,0)),0)</f>
        <v>0</v>
      </c>
      <c r="AD583" s="2326"/>
      <c r="AE583" s="2326"/>
      <c r="AF583" s="2326"/>
      <c r="AG583" s="2326"/>
      <c r="AH583" s="2327"/>
      <c r="AN583" s="439"/>
      <c r="AO583" s="46">
        <v>5</v>
      </c>
      <c r="AP583" s="2415">
        <f t="shared" ref="AP583:AP588" si="6">IF(OR(BE573&gt;=0.1,BE573=0),0,1)</f>
        <v>0</v>
      </c>
      <c r="AQ583" s="2416"/>
      <c r="AR583" s="2416"/>
      <c r="AS583" s="2416"/>
      <c r="AT583" s="2417"/>
      <c r="AX583" s="2368" t="s">
        <v>870</v>
      </c>
      <c r="AY583" s="2370"/>
      <c r="AZ583" s="2370"/>
      <c r="BA583" s="2370"/>
      <c r="BB583" s="2370"/>
      <c r="BC583" s="2370"/>
      <c r="BD583" s="2370"/>
      <c r="BE583" s="2370"/>
      <c r="BF583" s="2370"/>
      <c r="BG583" s="2370"/>
      <c r="BH583" s="2370"/>
      <c r="BI583" s="2370"/>
      <c r="BJ583" s="2370"/>
      <c r="BK583" s="2370"/>
      <c r="BL583" s="2370"/>
      <c r="BM583" s="2370"/>
      <c r="BN583" s="2370"/>
      <c r="BO583" s="2370"/>
      <c r="BP583" s="2370"/>
      <c r="BQ583" s="2369"/>
    </row>
    <row r="584" spans="2:96" s="46" customFormat="1" ht="12.75" customHeight="1">
      <c r="E584" s="2307">
        <v>22</v>
      </c>
      <c r="F584" s="2308"/>
      <c r="G584" s="2308"/>
      <c r="H584" s="2308"/>
      <c r="I584" s="2308"/>
      <c r="J584" s="2309"/>
      <c r="K584" s="2310">
        <v>30</v>
      </c>
      <c r="L584" s="2311"/>
      <c r="M584" s="2311"/>
      <c r="N584" s="2311"/>
      <c r="O584" s="2311"/>
      <c r="P584" s="2312"/>
      <c r="Q584" s="2402">
        <f t="shared" ref="Q584:Q591" si="7">IF(ISERROR(IF((((E584/$BJ$530)*100)&gt;100),"EXCESSIVE VALUE",(E584/$BJ$530)*100)),0,IF((((E584/$BJ$530)*100)&gt;100),"EXCESSIVE VALUE",(E584/$BJ$530)*100))</f>
        <v>55.000000000000007</v>
      </c>
      <c r="R584" s="2403"/>
      <c r="S584" s="2403"/>
      <c r="T584" s="2403"/>
      <c r="U584" s="2403"/>
      <c r="V584" s="2404"/>
      <c r="W584" s="2325">
        <f>IF(FLOOR(Q584,5)&gt;80,80,FLOOR(Q584,5))</f>
        <v>55</v>
      </c>
      <c r="X584" s="2326"/>
      <c r="Y584" s="2326"/>
      <c r="Z584" s="2326"/>
      <c r="AA584" s="2326"/>
      <c r="AB584" s="2327"/>
      <c r="AC584" s="2325">
        <f t="shared" si="5"/>
        <v>50</v>
      </c>
      <c r="AD584" s="2326"/>
      <c r="AE584" s="2326"/>
      <c r="AF584" s="2326"/>
      <c r="AG584" s="2326"/>
      <c r="AH584" s="2327"/>
      <c r="AN584" s="439"/>
      <c r="AO584" s="46">
        <v>4</v>
      </c>
      <c r="AP584" s="2415">
        <f t="shared" si="6"/>
        <v>0</v>
      </c>
      <c r="AQ584" s="2416"/>
      <c r="AR584" s="2416"/>
      <c r="AS584" s="2416"/>
      <c r="AT584" s="2417"/>
      <c r="AX584" s="2446" t="s">
        <v>682</v>
      </c>
      <c r="AY584" s="2447"/>
      <c r="AZ584" s="1839" t="s">
        <v>682</v>
      </c>
      <c r="BA584" s="1841"/>
      <c r="BB584" s="2446" t="s">
        <v>293</v>
      </c>
      <c r="BC584" s="2447"/>
      <c r="BD584" s="2365" t="s">
        <v>293</v>
      </c>
      <c r="BE584" s="2367"/>
      <c r="BF584" s="2446" t="s">
        <v>292</v>
      </c>
      <c r="BG584" s="2447"/>
      <c r="BH584" s="2365" t="s">
        <v>292</v>
      </c>
      <c r="BI584" s="2367"/>
      <c r="BJ584" s="2446" t="s">
        <v>291</v>
      </c>
      <c r="BK584" s="2447"/>
      <c r="BL584" s="2365" t="s">
        <v>291</v>
      </c>
      <c r="BM584" s="2367"/>
      <c r="BN584" s="2446" t="s">
        <v>681</v>
      </c>
      <c r="BO584" s="2447"/>
      <c r="BP584" s="2365" t="s">
        <v>681</v>
      </c>
      <c r="BQ584" s="2367"/>
    </row>
    <row r="585" spans="2:96" s="46" customFormat="1" ht="12.75" customHeight="1">
      <c r="E585" s="2307"/>
      <c r="F585" s="2308"/>
      <c r="G585" s="2308"/>
      <c r="H585" s="2308"/>
      <c r="I585" s="2308"/>
      <c r="J585" s="2309"/>
      <c r="K585" s="2310">
        <v>35</v>
      </c>
      <c r="L585" s="2311"/>
      <c r="M585" s="2311"/>
      <c r="N585" s="2311"/>
      <c r="O585" s="2311"/>
      <c r="P585" s="2312"/>
      <c r="Q585" s="2402">
        <f t="shared" si="7"/>
        <v>0</v>
      </c>
      <c r="R585" s="2403"/>
      <c r="S585" s="2403"/>
      <c r="T585" s="2403"/>
      <c r="U585" s="2403"/>
      <c r="V585" s="2404"/>
      <c r="W585" s="2325">
        <f t="shared" ref="W585:W591" si="8">IF(FLOOR(Q585,5)&gt;80,80,FLOOR(Q585,5))</f>
        <v>0</v>
      </c>
      <c r="X585" s="2326"/>
      <c r="Y585" s="2326"/>
      <c r="Z585" s="2326"/>
      <c r="AA585" s="2326"/>
      <c r="AB585" s="2327"/>
      <c r="AC585" s="2325">
        <f t="shared" si="5"/>
        <v>0</v>
      </c>
      <c r="AD585" s="2326"/>
      <c r="AE585" s="2326"/>
      <c r="AF585" s="2326"/>
      <c r="AG585" s="2326"/>
      <c r="AH585" s="2327"/>
      <c r="AN585" s="439"/>
      <c r="AO585" s="137">
        <v>3</v>
      </c>
      <c r="AP585" s="2310">
        <f t="shared" si="6"/>
        <v>0</v>
      </c>
      <c r="AQ585" s="2311"/>
      <c r="AR585" s="2311"/>
      <c r="AS585" s="2311"/>
      <c r="AT585" s="2312"/>
      <c r="AX585" s="2446">
        <f>IF(AP535=1,1,0)</f>
        <v>0</v>
      </c>
      <c r="AY585" s="2447"/>
      <c r="AZ585" s="2368"/>
      <c r="BA585" s="2369"/>
      <c r="BB585" s="2503"/>
      <c r="BC585" s="2504"/>
      <c r="BD585" s="2365">
        <f>IF(AND(T608&gt;0,AP535&gt;0),1,0)</f>
        <v>0</v>
      </c>
      <c r="BE585" s="2367"/>
      <c r="BF585" s="2503"/>
      <c r="BG585" s="2504"/>
      <c r="BH585" s="2365">
        <f>IF(AND(T608&gt;0,AP535&gt;0),1,0)</f>
        <v>0</v>
      </c>
      <c r="BI585" s="2367"/>
      <c r="BJ585" s="2503"/>
      <c r="BK585" s="2504"/>
      <c r="BL585" s="2365">
        <f>IF(AND(T608&gt;0,AP535&gt;0),1,0)</f>
        <v>0</v>
      </c>
      <c r="BM585" s="2367"/>
      <c r="BN585" s="2503"/>
      <c r="BO585" s="2504"/>
      <c r="BP585" s="2365">
        <f>IF(AND(T608&gt;0,AP535&gt;0),1,0)</f>
        <v>0</v>
      </c>
      <c r="BQ585" s="2367"/>
    </row>
    <row r="586" spans="2:96" s="46" customFormat="1" ht="12.75" customHeight="1">
      <c r="E586" s="2307">
        <v>4</v>
      </c>
      <c r="F586" s="2308"/>
      <c r="G586" s="2308"/>
      <c r="H586" s="2308"/>
      <c r="I586" s="2308"/>
      <c r="J586" s="2309"/>
      <c r="K586" s="2310">
        <v>40</v>
      </c>
      <c r="L586" s="2311"/>
      <c r="M586" s="2311"/>
      <c r="N586" s="2311"/>
      <c r="O586" s="2311"/>
      <c r="P586" s="2312"/>
      <c r="Q586" s="2402">
        <f t="shared" si="7"/>
        <v>10</v>
      </c>
      <c r="R586" s="2403"/>
      <c r="S586" s="2403"/>
      <c r="T586" s="2403"/>
      <c r="U586" s="2403"/>
      <c r="V586" s="2404"/>
      <c r="W586" s="2325">
        <f t="shared" si="8"/>
        <v>10</v>
      </c>
      <c r="X586" s="2326"/>
      <c r="Y586" s="2326"/>
      <c r="Z586" s="2326"/>
      <c r="AA586" s="2326"/>
      <c r="AB586" s="2327"/>
      <c r="AC586" s="2325">
        <f t="shared" si="5"/>
        <v>10</v>
      </c>
      <c r="AD586" s="2326"/>
      <c r="AE586" s="2326"/>
      <c r="AF586" s="2326"/>
      <c r="AG586" s="2326"/>
      <c r="AH586" s="2327"/>
      <c r="AN586" s="439"/>
      <c r="AO586" s="46">
        <v>2</v>
      </c>
      <c r="AP586" s="2415">
        <f t="shared" si="6"/>
        <v>0</v>
      </c>
      <c r="AQ586" s="2416"/>
      <c r="AR586" s="2416"/>
      <c r="AS586" s="2416"/>
      <c r="AT586" s="2417"/>
      <c r="AX586" s="2503"/>
      <c r="AY586" s="2504"/>
      <c r="AZ586" s="2368"/>
      <c r="BA586" s="2369"/>
      <c r="BB586" s="2446">
        <f>IF(AP536=1,1,0)</f>
        <v>0</v>
      </c>
      <c r="BC586" s="2447"/>
      <c r="BD586" s="2368"/>
      <c r="BE586" s="2369"/>
      <c r="BF586" s="2503"/>
      <c r="BG586" s="2504"/>
      <c r="BH586" s="2365">
        <f>IF(AND(T609&gt;0,AP536&gt;0),1,0)</f>
        <v>1</v>
      </c>
      <c r="BI586" s="2367"/>
      <c r="BJ586" s="2503"/>
      <c r="BK586" s="2504"/>
      <c r="BL586" s="2365">
        <f>IF(AND(T609&gt;0,AP536&gt;0),1,0)</f>
        <v>1</v>
      </c>
      <c r="BM586" s="2367"/>
      <c r="BN586" s="2503"/>
      <c r="BO586" s="2504"/>
      <c r="BP586" s="2365">
        <f>IF(AND(T609&gt;0,AP536&gt;0),1,0)</f>
        <v>1</v>
      </c>
      <c r="BQ586" s="2367"/>
    </row>
    <row r="587" spans="2:96" s="46" customFormat="1" ht="12.75" customHeight="1">
      <c r="E587" s="2307"/>
      <c r="F587" s="2308"/>
      <c r="G587" s="2308"/>
      <c r="H587" s="2308"/>
      <c r="I587" s="2308"/>
      <c r="J587" s="2309"/>
      <c r="K587" s="2310">
        <v>45</v>
      </c>
      <c r="L587" s="2311"/>
      <c r="M587" s="2311"/>
      <c r="N587" s="2311"/>
      <c r="O587" s="2311"/>
      <c r="P587" s="2312"/>
      <c r="Q587" s="2402">
        <f t="shared" si="7"/>
        <v>0</v>
      </c>
      <c r="R587" s="2403"/>
      <c r="S587" s="2403"/>
      <c r="T587" s="2403"/>
      <c r="U587" s="2403"/>
      <c r="V587" s="2404"/>
      <c r="W587" s="2325">
        <f>IF(FLOOR(Q587,5)&gt;65,65,FLOOR(Q587,5))</f>
        <v>0</v>
      </c>
      <c r="X587" s="2326"/>
      <c r="Y587" s="2326"/>
      <c r="Z587" s="2326"/>
      <c r="AA587" s="2326"/>
      <c r="AB587" s="2327"/>
      <c r="AC587" s="2325">
        <f t="shared" si="5"/>
        <v>0</v>
      </c>
      <c r="AD587" s="2326"/>
      <c r="AE587" s="2326"/>
      <c r="AF587" s="2326"/>
      <c r="AG587" s="2326"/>
      <c r="AH587" s="2327"/>
      <c r="AN587" s="439"/>
      <c r="AO587" s="46">
        <v>1</v>
      </c>
      <c r="AP587" s="2415">
        <f t="shared" si="6"/>
        <v>0</v>
      </c>
      <c r="AQ587" s="2416"/>
      <c r="AR587" s="2416"/>
      <c r="AS587" s="2416"/>
      <c r="AT587" s="2417"/>
      <c r="AX587" s="2503"/>
      <c r="AY587" s="2504"/>
      <c r="AZ587" s="2368"/>
      <c r="BA587" s="2369"/>
      <c r="BB587" s="2503"/>
      <c r="BC587" s="2504"/>
      <c r="BD587" s="2368"/>
      <c r="BE587" s="2369"/>
      <c r="BF587" s="2446">
        <f>IF(AP537=1,1,0)</f>
        <v>0</v>
      </c>
      <c r="BG587" s="2447"/>
      <c r="BH587" s="2368"/>
      <c r="BI587" s="2369"/>
      <c r="BJ587" s="2503"/>
      <c r="BK587" s="2504"/>
      <c r="BL587" s="2365">
        <f>IF(AND(T610&gt;0,AP537&gt;0),1,0)</f>
        <v>1</v>
      </c>
      <c r="BM587" s="2367"/>
      <c r="BN587" s="2503"/>
      <c r="BO587" s="2504"/>
      <c r="BP587" s="2365">
        <f>IF(AND(T610&gt;0,AP537&gt;0),1,0)</f>
        <v>1</v>
      </c>
      <c r="BQ587" s="2367"/>
    </row>
    <row r="588" spans="2:96" s="46" customFormat="1" ht="12.75" customHeight="1">
      <c r="E588" s="2307">
        <v>10</v>
      </c>
      <c r="F588" s="2308"/>
      <c r="G588" s="2308"/>
      <c r="H588" s="2308"/>
      <c r="I588" s="2308"/>
      <c r="J588" s="2309"/>
      <c r="K588" s="2310">
        <v>50</v>
      </c>
      <c r="L588" s="2311"/>
      <c r="M588" s="2311"/>
      <c r="N588" s="2311"/>
      <c r="O588" s="2311"/>
      <c r="P588" s="2312"/>
      <c r="Q588" s="2402">
        <f t="shared" si="7"/>
        <v>25</v>
      </c>
      <c r="R588" s="2403"/>
      <c r="S588" s="2403"/>
      <c r="T588" s="2403"/>
      <c r="U588" s="2403"/>
      <c r="V588" s="2404"/>
      <c r="W588" s="2325">
        <f>IF(FLOOR(Q588,5)&gt;40,40,FLOOR(Q588,5))</f>
        <v>25</v>
      </c>
      <c r="X588" s="2326"/>
      <c r="Y588" s="2326"/>
      <c r="Z588" s="2326"/>
      <c r="AA588" s="2326"/>
      <c r="AB588" s="2327"/>
      <c r="AC588" s="2325">
        <f t="shared" si="5"/>
        <v>12.5</v>
      </c>
      <c r="AD588" s="2326"/>
      <c r="AE588" s="2326"/>
      <c r="AF588" s="2326"/>
      <c r="AG588" s="2326"/>
      <c r="AH588" s="2327"/>
      <c r="AN588" s="439"/>
      <c r="AO588" s="46">
        <v>0</v>
      </c>
      <c r="AP588" s="2415">
        <f t="shared" si="6"/>
        <v>0</v>
      </c>
      <c r="AQ588" s="2416"/>
      <c r="AR588" s="2416"/>
      <c r="AS588" s="2416"/>
      <c r="AT588" s="2417"/>
      <c r="AX588" s="2503"/>
      <c r="AY588" s="2504"/>
      <c r="AZ588" s="2368"/>
      <c r="BA588" s="2369"/>
      <c r="BB588" s="2503"/>
      <c r="BC588" s="2504"/>
      <c r="BD588" s="2368"/>
      <c r="BE588" s="2369"/>
      <c r="BF588" s="2503"/>
      <c r="BG588" s="2504"/>
      <c r="BH588" s="2368"/>
      <c r="BI588" s="2369"/>
      <c r="BJ588" s="2446">
        <f>IF(AP538=1,1,0)</f>
        <v>0</v>
      </c>
      <c r="BK588" s="2447"/>
      <c r="BL588" s="2503"/>
      <c r="BM588" s="2504"/>
      <c r="BN588" s="2503"/>
      <c r="BO588" s="2504"/>
      <c r="BP588" s="2365">
        <f>IF(AND(T611&gt;0,AP538&gt;0),1,0)</f>
        <v>1</v>
      </c>
      <c r="BQ588" s="2367"/>
    </row>
    <row r="589" spans="2:96" s="46" customFormat="1" ht="12.75" customHeight="1">
      <c r="E589" s="2477"/>
      <c r="F589" s="2478"/>
      <c r="G589" s="2478"/>
      <c r="H589" s="2478"/>
      <c r="I589" s="2478"/>
      <c r="J589" s="2479"/>
      <c r="K589" s="2550">
        <f>IF(OR(Application!D211="Rural",Application!D211="Rural apportionment (Section 514)",Application!D211="Rural apportionment (Section 515)",Application!D211="Rural apportionment (HOME)",Application!D211="Rural (Native American apportionment)"),50,0)</f>
        <v>0</v>
      </c>
      <c r="L589" s="2551"/>
      <c r="M589" s="2552" t="s">
        <v>2099</v>
      </c>
      <c r="N589" s="2552"/>
      <c r="O589" s="2552"/>
      <c r="P589" s="2553"/>
      <c r="Q589" s="2402">
        <f t="shared" si="7"/>
        <v>0</v>
      </c>
      <c r="R589" s="2403"/>
      <c r="S589" s="2403"/>
      <c r="T589" s="2403"/>
      <c r="U589" s="2403"/>
      <c r="V589" s="2404"/>
      <c r="W589" s="2325">
        <f>IF(FLOOR(Q589,5)&gt;50,50,FLOOR(Q589,5))</f>
        <v>0</v>
      </c>
      <c r="X589" s="2326"/>
      <c r="Y589" s="2326"/>
      <c r="Z589" s="2326"/>
      <c r="AA589" s="2326"/>
      <c r="AB589" s="2327"/>
      <c r="AC589" s="2325">
        <f>IF(W589&gt;0,INDEX($AT$509:$BA$523,MATCH(W589,$AS$509:$AS$523,0),MATCH(K589,$AT$508:$BA$508,0)),0)</f>
        <v>0</v>
      </c>
      <c r="AD589" s="2326"/>
      <c r="AE589" s="2326"/>
      <c r="AF589" s="2326"/>
      <c r="AG589" s="2326"/>
      <c r="AH589" s="2327"/>
      <c r="AN589" s="439"/>
      <c r="AP589" s="2415"/>
      <c r="AQ589" s="2416"/>
      <c r="AR589" s="2416"/>
      <c r="AS589" s="2416"/>
      <c r="AT589" s="2417"/>
      <c r="AX589" s="2503"/>
      <c r="AY589" s="2504"/>
      <c r="AZ589" s="2368"/>
      <c r="BA589" s="2369"/>
      <c r="BB589" s="2503"/>
      <c r="BC589" s="2504"/>
      <c r="BD589" s="2368"/>
      <c r="BE589" s="2369"/>
      <c r="BF589" s="2503"/>
      <c r="BG589" s="2504"/>
      <c r="BH589" s="2368"/>
      <c r="BI589" s="2369"/>
      <c r="BJ589" s="2503"/>
      <c r="BK589" s="2504"/>
      <c r="BL589" s="2503"/>
      <c r="BM589" s="2504"/>
      <c r="BN589" s="2446">
        <f>IF(AP539=1,1,0)</f>
        <v>1</v>
      </c>
      <c r="BO589" s="2447"/>
      <c r="BP589" s="2368"/>
      <c r="BQ589" s="2369"/>
    </row>
    <row r="590" spans="2:96" s="46" customFormat="1" ht="12.75" customHeight="1">
      <c r="E590" s="2477"/>
      <c r="F590" s="2478"/>
      <c r="G590" s="2478"/>
      <c r="H590" s="2478"/>
      <c r="I590" s="2478"/>
      <c r="J590" s="2479"/>
      <c r="K590" s="2550">
        <f>IF(OR(Application!D211="Rural",Application!D211="Rural apportionment (Section 514)",Application!D211="Rural apportionment (Section 515)",Application!D211="Rural apportionment (HOME)",Application!D211="Rural (Native American apportionment)"),55,0)</f>
        <v>0</v>
      </c>
      <c r="L590" s="2551"/>
      <c r="M590" s="2552" t="s">
        <v>2099</v>
      </c>
      <c r="N590" s="2552"/>
      <c r="O590" s="2552"/>
      <c r="P590" s="2553"/>
      <c r="Q590" s="2402">
        <f t="shared" si="7"/>
        <v>0</v>
      </c>
      <c r="R590" s="2403"/>
      <c r="S590" s="2403"/>
      <c r="T590" s="2403"/>
      <c r="U590" s="2403"/>
      <c r="V590" s="2404"/>
      <c r="W590" s="2325">
        <f>IF(FLOOR(Q590,5)&gt;40,40,FLOOR(Q590,5))</f>
        <v>0</v>
      </c>
      <c r="X590" s="2326"/>
      <c r="Y590" s="2326"/>
      <c r="Z590" s="2326"/>
      <c r="AA590" s="2326"/>
      <c r="AB590" s="2327"/>
      <c r="AC590" s="2325">
        <f>IF(W590&gt;0,INDEX($AT$509:$BA$523,MATCH(W590,$AS$509:$AS$523,0),MATCH(K590,$AT$508:$BA$508,0)),0)</f>
        <v>0</v>
      </c>
      <c r="AD590" s="2326"/>
      <c r="AE590" s="2326"/>
      <c r="AF590" s="2326"/>
      <c r="AG590" s="2326"/>
      <c r="AH590" s="2327"/>
      <c r="AN590" s="439"/>
      <c r="AX590" s="2446">
        <f>SUM(AX585:AY589)</f>
        <v>0</v>
      </c>
      <c r="AY590" s="2447"/>
      <c r="AZ590" s="2365">
        <f>SUM(AZ586:BA589)</f>
        <v>0</v>
      </c>
      <c r="BA590" s="2367"/>
      <c r="BB590" s="2446">
        <f>SUM(BB586:BC589)</f>
        <v>0</v>
      </c>
      <c r="BC590" s="2447"/>
      <c r="BD590" s="2365">
        <f>SUM(BD585:BE589)</f>
        <v>0</v>
      </c>
      <c r="BE590" s="2367"/>
      <c r="BF590" s="2446">
        <f>SUM(BF587:BG589)</f>
        <v>0</v>
      </c>
      <c r="BG590" s="2447"/>
      <c r="BH590" s="2365">
        <f>SUM(BH585:BI589)</f>
        <v>1</v>
      </c>
      <c r="BI590" s="2367"/>
      <c r="BJ590" s="2446">
        <f>SUM(BJ585:BK589)</f>
        <v>0</v>
      </c>
      <c r="BK590" s="2447"/>
      <c r="BL590" s="2365">
        <f>SUM(BL585:BM589)</f>
        <v>2</v>
      </c>
      <c r="BM590" s="2367"/>
      <c r="BN590" s="2446">
        <f>SUM(BN585:BO589)</f>
        <v>1</v>
      </c>
      <c r="BO590" s="2447"/>
      <c r="BP590" s="2365">
        <f>SUM(BP585:BQ589)</f>
        <v>3</v>
      </c>
      <c r="BQ590" s="2367"/>
    </row>
    <row r="591" spans="2:96" s="46" customFormat="1" ht="12.75" customHeight="1">
      <c r="E591" s="2307">
        <v>4</v>
      </c>
      <c r="F591" s="2308"/>
      <c r="G591" s="2308"/>
      <c r="H591" s="2308"/>
      <c r="I591" s="2308"/>
      <c r="J591" s="2309"/>
      <c r="K591" s="2310" t="s">
        <v>2100</v>
      </c>
      <c r="L591" s="2311"/>
      <c r="M591" s="2311"/>
      <c r="N591" s="2311"/>
      <c r="O591" s="2311"/>
      <c r="P591" s="2312"/>
      <c r="Q591" s="2402">
        <f t="shared" si="7"/>
        <v>10</v>
      </c>
      <c r="R591" s="2403"/>
      <c r="S591" s="2403"/>
      <c r="T591" s="2403"/>
      <c r="U591" s="2403"/>
      <c r="V591" s="2404"/>
      <c r="W591" s="2325">
        <f t="shared" si="8"/>
        <v>10</v>
      </c>
      <c r="X591" s="2326"/>
      <c r="Y591" s="2326"/>
      <c r="Z591" s="2326"/>
      <c r="AA591" s="2326"/>
      <c r="AB591" s="2327"/>
      <c r="AC591" s="2325">
        <v>0</v>
      </c>
      <c r="AD591" s="2326"/>
      <c r="AE591" s="2326"/>
      <c r="AF591" s="2326"/>
      <c r="AG591" s="2326"/>
      <c r="AH591" s="2327"/>
      <c r="AN591" s="439"/>
      <c r="AX591" s="2461">
        <f>IF(AND(AX590=1,AZ590&gt;1),1,0)</f>
        <v>0</v>
      </c>
      <c r="AY591" s="2462"/>
      <c r="AZ591" s="2462"/>
      <c r="BA591" s="2463"/>
      <c r="BB591" s="2461">
        <f>IF(AND(BB590=1,BD590&gt;=1),1,0)</f>
        <v>0</v>
      </c>
      <c r="BC591" s="2462"/>
      <c r="BD591" s="2462"/>
      <c r="BE591" s="2463"/>
      <c r="BF591" s="2461">
        <f>IF(AND(BF590=1,BH590&gt;=1),1,0)</f>
        <v>0</v>
      </c>
      <c r="BG591" s="2462"/>
      <c r="BH591" s="2462"/>
      <c r="BI591" s="2463"/>
      <c r="BJ591" s="2461">
        <f>IF(AND(BJ590=1,BL590&gt;=1),1,0)</f>
        <v>0</v>
      </c>
      <c r="BK591" s="2462"/>
      <c r="BL591" s="2462"/>
      <c r="BM591" s="2463"/>
      <c r="BN591" s="2461">
        <f>IF(AND(BN590=1,BP590&gt;=1),1,0)</f>
        <v>1</v>
      </c>
      <c r="BO591" s="2462"/>
      <c r="BP591" s="2462"/>
      <c r="BQ591" s="2463"/>
    </row>
    <row r="592" spans="2:96" s="46" customFormat="1" ht="12.75" customHeight="1">
      <c r="E592" s="2409">
        <f>SUM(E583:J591)</f>
        <v>40</v>
      </c>
      <c r="F592" s="2410"/>
      <c r="G592" s="2410"/>
      <c r="H592" s="2410"/>
      <c r="I592" s="2410"/>
      <c r="J592" s="2411"/>
      <c r="K592" s="260"/>
      <c r="L592" s="260"/>
      <c r="M592" s="260"/>
      <c r="N592" s="260"/>
      <c r="O592" s="260"/>
      <c r="P592" s="260"/>
      <c r="Q592" s="260"/>
      <c r="R592" s="260"/>
      <c r="S592" s="260"/>
      <c r="T592" s="260"/>
      <c r="U592" s="254"/>
      <c r="V592" s="254"/>
      <c r="W592" s="254"/>
      <c r="X592" s="254"/>
      <c r="Y592" s="254"/>
      <c r="Z592" s="260"/>
      <c r="AA592" s="254"/>
      <c r="AB592" s="100" t="s">
        <v>671</v>
      </c>
      <c r="AC592" s="2412">
        <f>IF(SUM(AC583:AH591)&gt;0,SUM(AC583:AH591),0)</f>
        <v>72.5</v>
      </c>
      <c r="AD592" s="2413"/>
      <c r="AE592" s="2413"/>
      <c r="AF592" s="2413"/>
      <c r="AG592" s="2413"/>
      <c r="AH592" s="2414"/>
      <c r="AK592" s="8"/>
      <c r="AL592" s="8"/>
      <c r="AM592" s="261"/>
      <c r="AN592" s="439"/>
      <c r="AX592" s="16"/>
      <c r="AY592" s="16"/>
      <c r="AZ592" s="16"/>
      <c r="BA592" s="16"/>
      <c r="BB592" s="16"/>
      <c r="BC592" s="16"/>
      <c r="BD592" s="16"/>
      <c r="BE592" s="16"/>
      <c r="BF592" s="16"/>
      <c r="BG592" s="16"/>
      <c r="BH592" s="16"/>
      <c r="BI592" s="240" t="s">
        <v>676</v>
      </c>
      <c r="BJ592" s="2461">
        <f>AX591+BB591+BF591+BJ591+BN591</f>
        <v>1</v>
      </c>
      <c r="BK592" s="2462"/>
      <c r="BL592" s="2462"/>
      <c r="BM592" s="2463"/>
      <c r="BN592" s="16"/>
      <c r="BO592" s="16"/>
      <c r="BP592" s="16"/>
      <c r="BQ592" s="16"/>
    </row>
    <row r="593" spans="1:69" s="46" customFormat="1" ht="12.75" customHeight="1">
      <c r="E593" s="513"/>
      <c r="F593" s="511"/>
      <c r="G593" s="511"/>
      <c r="H593" s="511"/>
      <c r="I593" s="511"/>
      <c r="J593" s="511"/>
      <c r="K593" s="71"/>
      <c r="L593" s="71"/>
      <c r="M593" s="71"/>
      <c r="N593" s="71"/>
      <c r="O593" s="71"/>
      <c r="P593" s="71"/>
      <c r="Q593" s="71"/>
      <c r="R593" s="71"/>
      <c r="S593" s="71"/>
      <c r="T593" s="71"/>
      <c r="U593" s="162"/>
      <c r="V593" s="162"/>
      <c r="W593" s="162"/>
      <c r="X593" s="162"/>
      <c r="Y593" s="162"/>
      <c r="Z593" s="71"/>
      <c r="AA593" s="162"/>
      <c r="AB593" s="103"/>
      <c r="AC593" s="512"/>
      <c r="AD593" s="512"/>
      <c r="AE593" s="512"/>
      <c r="AF593" s="512"/>
      <c r="AG593" s="512"/>
      <c r="AH593" s="512"/>
      <c r="AK593" s="8"/>
      <c r="AL593" s="8"/>
      <c r="AM593" s="261"/>
      <c r="AN593" s="439"/>
      <c r="AX593" s="16"/>
      <c r="AY593" s="16"/>
      <c r="AZ593" s="16"/>
      <c r="BA593" s="16"/>
      <c r="BB593" s="16"/>
      <c r="BC593" s="16"/>
      <c r="BD593" s="16"/>
      <c r="BE593" s="16"/>
      <c r="BF593" s="16"/>
      <c r="BG593" s="16"/>
      <c r="BI593" s="16"/>
      <c r="BJ593" s="16" t="s">
        <v>675</v>
      </c>
      <c r="BK593" s="16"/>
      <c r="BL593" s="16"/>
      <c r="BM593" s="16"/>
      <c r="BN593" s="16"/>
      <c r="BO593" s="16"/>
      <c r="BP593" s="16"/>
      <c r="BQ593" s="35"/>
    </row>
    <row r="594" spans="1:69" s="46" customFormat="1" ht="12.75" customHeight="1">
      <c r="AK594" s="8"/>
      <c r="AL594" s="8"/>
      <c r="AM594" s="8"/>
      <c r="AN594" s="439"/>
    </row>
    <row r="595" spans="1:69" s="46" customFormat="1" ht="12.75" customHeight="1">
      <c r="B595" s="207" t="s">
        <v>2235</v>
      </c>
      <c r="AG595" s="2378" t="s">
        <v>114</v>
      </c>
      <c r="AH595" s="2378"/>
      <c r="AI595" s="2378"/>
      <c r="AJ595" s="2378"/>
      <c r="AK595" s="8"/>
      <c r="AL595" s="8"/>
      <c r="AM595" s="8"/>
      <c r="AN595" s="439"/>
    </row>
    <row r="596" spans="1:69" s="46" customFormat="1" ht="12.75" customHeight="1">
      <c r="B596" s="2336" t="s">
        <v>2076</v>
      </c>
      <c r="C596" s="2336"/>
      <c r="D596" s="2336"/>
      <c r="E596" s="2336"/>
      <c r="F596" s="2336"/>
      <c r="G596" s="2336"/>
      <c r="H596" s="2336"/>
      <c r="I596" s="2336"/>
      <c r="J596" s="2336"/>
      <c r="K596" s="2336"/>
      <c r="L596" s="2336"/>
      <c r="M596" s="2336"/>
      <c r="N596" s="2336"/>
      <c r="O596" s="2336"/>
      <c r="P596" s="2336"/>
      <c r="Q596" s="2336"/>
      <c r="R596" s="2336"/>
      <c r="S596" s="2336"/>
      <c r="T596" s="2336"/>
      <c r="U596" s="2336"/>
      <c r="V596" s="2336"/>
      <c r="W596" s="2336"/>
      <c r="X596" s="2336"/>
      <c r="Y596" s="2336"/>
      <c r="Z596" s="2336"/>
      <c r="AA596" s="2336"/>
      <c r="AB596" s="2336"/>
      <c r="AC596" s="2336"/>
      <c r="AD596" s="2336"/>
      <c r="AE596" s="2336"/>
      <c r="AF596" s="2336"/>
      <c r="AG596" s="2336"/>
      <c r="AH596" s="2336"/>
      <c r="AI596" s="65"/>
      <c r="AJ596" s="65"/>
      <c r="AK596" s="16"/>
      <c r="AL596" s="16"/>
      <c r="AM596" s="16"/>
      <c r="AN596" s="439"/>
    </row>
    <row r="597" spans="1:69" s="46" customFormat="1" ht="12.75" customHeight="1">
      <c r="A597" s="65"/>
      <c r="B597" s="2336"/>
      <c r="C597" s="2336"/>
      <c r="D597" s="2336"/>
      <c r="E597" s="2336"/>
      <c r="F597" s="2336"/>
      <c r="G597" s="2336"/>
      <c r="H597" s="2336"/>
      <c r="I597" s="2336"/>
      <c r="J597" s="2336"/>
      <c r="K597" s="2336"/>
      <c r="L597" s="2336"/>
      <c r="M597" s="2336"/>
      <c r="N597" s="2336"/>
      <c r="O597" s="2336"/>
      <c r="P597" s="2336"/>
      <c r="Q597" s="2336"/>
      <c r="R597" s="2336"/>
      <c r="S597" s="2336"/>
      <c r="T597" s="2336"/>
      <c r="U597" s="2336"/>
      <c r="V597" s="2336"/>
      <c r="W597" s="2336"/>
      <c r="X597" s="2336"/>
      <c r="Y597" s="2336"/>
      <c r="Z597" s="2336"/>
      <c r="AA597" s="2336"/>
      <c r="AB597" s="2336"/>
      <c r="AC597" s="2336"/>
      <c r="AD597" s="2336"/>
      <c r="AE597" s="2336"/>
      <c r="AF597" s="2336"/>
      <c r="AG597" s="2336"/>
      <c r="AH597" s="2336"/>
      <c r="AI597" s="65"/>
      <c r="AJ597" s="65"/>
      <c r="AK597" s="16"/>
      <c r="AL597" s="16"/>
      <c r="AM597" s="16"/>
      <c r="AN597" s="439"/>
    </row>
    <row r="598" spans="1:69" s="46" customFormat="1" ht="12.75" customHeight="1">
      <c r="A598" s="65"/>
      <c r="B598" s="2336"/>
      <c r="C598" s="2336"/>
      <c r="D598" s="2336"/>
      <c r="E598" s="2336"/>
      <c r="F598" s="2336"/>
      <c r="G598" s="2336"/>
      <c r="H598" s="2336"/>
      <c r="I598" s="2336"/>
      <c r="J598" s="2336"/>
      <c r="K598" s="2336"/>
      <c r="L598" s="2336"/>
      <c r="M598" s="2336"/>
      <c r="N598" s="2336"/>
      <c r="O598" s="2336"/>
      <c r="P598" s="2336"/>
      <c r="Q598" s="2336"/>
      <c r="R598" s="2336"/>
      <c r="S598" s="2336"/>
      <c r="T598" s="2336"/>
      <c r="U598" s="2336"/>
      <c r="V598" s="2336"/>
      <c r="W598" s="2336"/>
      <c r="X598" s="2336"/>
      <c r="Y598" s="2336"/>
      <c r="Z598" s="2336"/>
      <c r="AA598" s="2336"/>
      <c r="AB598" s="2336"/>
      <c r="AC598" s="2336"/>
      <c r="AD598" s="2336"/>
      <c r="AE598" s="2336"/>
      <c r="AF598" s="2336"/>
      <c r="AG598" s="2336"/>
      <c r="AH598" s="2336"/>
      <c r="AI598" s="65"/>
      <c r="AJ598" s="65"/>
      <c r="AK598" s="16"/>
      <c r="AL598" s="16"/>
      <c r="AM598" s="16"/>
      <c r="AN598" s="439"/>
    </row>
    <row r="599" spans="1:69" s="46" customFormat="1" ht="12.75" customHeight="1">
      <c r="A599" s="65"/>
      <c r="B599" s="2336"/>
      <c r="C599" s="2336"/>
      <c r="D599" s="2336"/>
      <c r="E599" s="2336"/>
      <c r="F599" s="2336"/>
      <c r="G599" s="2336"/>
      <c r="H599" s="2336"/>
      <c r="I599" s="2336"/>
      <c r="J599" s="2336"/>
      <c r="K599" s="2336"/>
      <c r="L599" s="2336"/>
      <c r="M599" s="2336"/>
      <c r="N599" s="2336"/>
      <c r="O599" s="2336"/>
      <c r="P599" s="2336"/>
      <c r="Q599" s="2336"/>
      <c r="R599" s="2336"/>
      <c r="S599" s="2336"/>
      <c r="T599" s="2336"/>
      <c r="U599" s="2336"/>
      <c r="V599" s="2336"/>
      <c r="W599" s="2336"/>
      <c r="X599" s="2336"/>
      <c r="Y599" s="2336"/>
      <c r="Z599" s="2336"/>
      <c r="AA599" s="2336"/>
      <c r="AB599" s="2336"/>
      <c r="AC599" s="2336"/>
      <c r="AD599" s="2336"/>
      <c r="AE599" s="2336"/>
      <c r="AF599" s="2336"/>
      <c r="AG599" s="2336"/>
      <c r="AH599" s="2336"/>
      <c r="AI599" s="65"/>
      <c r="AJ599" s="65"/>
      <c r="AK599" s="16"/>
      <c r="AL599" s="16"/>
      <c r="AM599" s="16"/>
      <c r="AN599" s="439"/>
    </row>
    <row r="600" spans="1:69" s="46" customFormat="1" ht="12.75" customHeight="1">
      <c r="A600" s="65"/>
      <c r="B600" s="2336"/>
      <c r="C600" s="2336"/>
      <c r="D600" s="2336"/>
      <c r="E600" s="2336"/>
      <c r="F600" s="2336"/>
      <c r="G600" s="2336"/>
      <c r="H600" s="2336"/>
      <c r="I600" s="2336"/>
      <c r="J600" s="2336"/>
      <c r="K600" s="2336"/>
      <c r="L600" s="2336"/>
      <c r="M600" s="2336"/>
      <c r="N600" s="2336"/>
      <c r="O600" s="2336"/>
      <c r="P600" s="2336"/>
      <c r="Q600" s="2336"/>
      <c r="R600" s="2336"/>
      <c r="S600" s="2336"/>
      <c r="T600" s="2336"/>
      <c r="U600" s="2336"/>
      <c r="V600" s="2336"/>
      <c r="W600" s="2336"/>
      <c r="X600" s="2336"/>
      <c r="Y600" s="2336"/>
      <c r="Z600" s="2336"/>
      <c r="AA600" s="2336"/>
      <c r="AB600" s="2336"/>
      <c r="AC600" s="2336"/>
      <c r="AD600" s="2336"/>
      <c r="AE600" s="2336"/>
      <c r="AF600" s="2336"/>
      <c r="AG600" s="2336"/>
      <c r="AH600" s="2336"/>
      <c r="AI600" s="65"/>
      <c r="AJ600" s="65"/>
      <c r="AK600" s="16"/>
      <c r="AL600" s="16"/>
      <c r="AM600" s="16"/>
      <c r="AN600" s="439"/>
    </row>
    <row r="601" spans="1:69" s="46" customFormat="1" ht="12.75" customHeight="1">
      <c r="A601" s="65"/>
      <c r="B601" s="2336"/>
      <c r="C601" s="2336"/>
      <c r="D601" s="2336"/>
      <c r="E601" s="2336"/>
      <c r="F601" s="2336"/>
      <c r="G601" s="2336"/>
      <c r="H601" s="2336"/>
      <c r="I601" s="2336"/>
      <c r="J601" s="2336"/>
      <c r="K601" s="2336"/>
      <c r="L601" s="2336"/>
      <c r="M601" s="2336"/>
      <c r="N601" s="2336"/>
      <c r="O601" s="2336"/>
      <c r="P601" s="2336"/>
      <c r="Q601" s="2336"/>
      <c r="R601" s="2336"/>
      <c r="S601" s="2336"/>
      <c r="T601" s="2336"/>
      <c r="U601" s="2336"/>
      <c r="V601" s="2336"/>
      <c r="W601" s="2336"/>
      <c r="X601" s="2336"/>
      <c r="Y601" s="2336"/>
      <c r="Z601" s="2336"/>
      <c r="AA601" s="2336"/>
      <c r="AB601" s="2336"/>
      <c r="AC601" s="2336"/>
      <c r="AD601" s="2336"/>
      <c r="AE601" s="2336"/>
      <c r="AF601" s="2336"/>
      <c r="AG601" s="2336"/>
      <c r="AH601" s="2336"/>
      <c r="AI601" s="65"/>
      <c r="AJ601" s="65"/>
      <c r="AK601" s="65"/>
      <c r="AL601" s="65"/>
      <c r="AM601" s="65"/>
      <c r="AN601" s="1135"/>
    </row>
    <row r="602" spans="1:69">
      <c r="E602" s="245"/>
      <c r="BD602" s="65"/>
      <c r="BE602" s="65"/>
      <c r="BF602" s="65"/>
      <c r="BG602" s="65"/>
      <c r="BH602" s="65"/>
    </row>
    <row r="603" spans="1:69" ht="12.75" customHeight="1">
      <c r="J603" s="2405" t="s">
        <v>871</v>
      </c>
      <c r="K603" s="2406"/>
      <c r="L603" s="2406"/>
      <c r="M603" s="2406"/>
      <c r="N603" s="2407"/>
      <c r="O603" s="2319" t="s">
        <v>1687</v>
      </c>
      <c r="P603" s="2320"/>
      <c r="Q603" s="2320"/>
      <c r="R603" s="2320"/>
      <c r="S603" s="2321"/>
      <c r="T603" s="2319" t="s">
        <v>2003</v>
      </c>
      <c r="U603" s="2320"/>
      <c r="V603" s="2320"/>
      <c r="W603" s="2320"/>
      <c r="X603" s="2321"/>
      <c r="Y603" s="2319" t="s">
        <v>1688</v>
      </c>
      <c r="Z603" s="2320"/>
      <c r="AA603" s="2320"/>
      <c r="AB603" s="2320"/>
      <c r="AC603" s="2321"/>
      <c r="AF603" s="16"/>
      <c r="AG603" s="16"/>
      <c r="AH603" s="16"/>
      <c r="AI603" s="16"/>
      <c r="AJ603" s="16"/>
    </row>
    <row r="604" spans="1:69" ht="12.75" customHeight="1">
      <c r="D604" s="16"/>
      <c r="E604" s="16"/>
      <c r="F604" s="16"/>
      <c r="G604" s="16"/>
      <c r="H604" s="16"/>
      <c r="I604" s="16"/>
      <c r="J604" s="2356"/>
      <c r="K604" s="2357"/>
      <c r="L604" s="2357"/>
      <c r="M604" s="2357"/>
      <c r="N604" s="2408"/>
      <c r="O604" s="2322"/>
      <c r="P604" s="2323"/>
      <c r="Q604" s="2323"/>
      <c r="R604" s="2323"/>
      <c r="S604" s="2324"/>
      <c r="T604" s="2322"/>
      <c r="U604" s="2323"/>
      <c r="V604" s="2323"/>
      <c r="W604" s="2323"/>
      <c r="X604" s="2324"/>
      <c r="Y604" s="2322"/>
      <c r="Z604" s="2323"/>
      <c r="AA604" s="2323"/>
      <c r="AB604" s="2323"/>
      <c r="AC604" s="2324"/>
      <c r="AF604" s="16"/>
      <c r="AG604" s="16"/>
      <c r="AH604" s="16"/>
      <c r="AI604" s="16"/>
      <c r="AJ604" s="16"/>
    </row>
    <row r="605" spans="1:69">
      <c r="I605" s="16"/>
      <c r="J605" s="2356"/>
      <c r="K605" s="2357"/>
      <c r="L605" s="2357"/>
      <c r="M605" s="2357"/>
      <c r="N605" s="2408"/>
      <c r="O605" s="2322"/>
      <c r="P605" s="2323"/>
      <c r="Q605" s="2323"/>
      <c r="R605" s="2323"/>
      <c r="S605" s="2324"/>
      <c r="T605" s="2322"/>
      <c r="U605" s="2323"/>
      <c r="V605" s="2323"/>
      <c r="W605" s="2323"/>
      <c r="X605" s="2324"/>
      <c r="Y605" s="2322"/>
      <c r="Z605" s="2323"/>
      <c r="AA605" s="2323"/>
      <c r="AB605" s="2323"/>
      <c r="AC605" s="2324"/>
      <c r="AD605" s="42"/>
      <c r="AF605" s="16"/>
      <c r="AG605" s="16"/>
      <c r="AH605" s="16"/>
      <c r="AI605" s="16"/>
      <c r="AJ605" s="16"/>
    </row>
    <row r="606" spans="1:69">
      <c r="D606" s="16"/>
      <c r="E606" s="16"/>
      <c r="F606" s="16"/>
      <c r="G606" s="16"/>
      <c r="H606" s="16"/>
      <c r="I606" s="16"/>
      <c r="J606" s="2356"/>
      <c r="K606" s="2357"/>
      <c r="L606" s="2357"/>
      <c r="M606" s="2357"/>
      <c r="N606" s="2408"/>
      <c r="O606" s="2322"/>
      <c r="P606" s="2323"/>
      <c r="Q606" s="2323"/>
      <c r="R606" s="2323"/>
      <c r="S606" s="2324"/>
      <c r="T606" s="2322"/>
      <c r="U606" s="2323"/>
      <c r="V606" s="2323"/>
      <c r="W606" s="2323"/>
      <c r="X606" s="2324"/>
      <c r="Y606" s="2322"/>
      <c r="Z606" s="2323"/>
      <c r="AA606" s="2323"/>
      <c r="AB606" s="2323"/>
      <c r="AC606" s="2324"/>
      <c r="AD606" s="42"/>
      <c r="AF606" s="16"/>
      <c r="AG606" s="16"/>
      <c r="AH606" s="16"/>
      <c r="AI606" s="16"/>
      <c r="AJ606" s="16"/>
    </row>
    <row r="607" spans="1:69">
      <c r="D607" s="16"/>
      <c r="E607" s="16"/>
      <c r="F607" s="16"/>
      <c r="G607" s="16"/>
      <c r="H607" s="16"/>
      <c r="I607" s="16"/>
      <c r="J607" s="2428" t="s">
        <v>251</v>
      </c>
      <c r="K607" s="2429"/>
      <c r="L607" s="2429"/>
      <c r="M607" s="2429"/>
      <c r="N607" s="2430"/>
      <c r="O607" s="2310">
        <f>Application!CM625</f>
        <v>0</v>
      </c>
      <c r="P607" s="2311"/>
      <c r="Q607" s="2311"/>
      <c r="R607" s="2311"/>
      <c r="S607" s="2312"/>
      <c r="T607" s="2310">
        <f>Application!DR626</f>
        <v>0</v>
      </c>
      <c r="U607" s="2311"/>
      <c r="V607" s="2311"/>
      <c r="W607" s="2311"/>
      <c r="X607" s="2312"/>
      <c r="Y607" s="2398">
        <f t="shared" ref="Y607:Y612" si="9">IF(T607&gt;0,T607/O607,0)</f>
        <v>0</v>
      </c>
      <c r="Z607" s="2399"/>
      <c r="AA607" s="2399"/>
      <c r="AB607" s="2399"/>
      <c r="AC607" s="2400"/>
      <c r="AD607" s="42"/>
      <c r="AF607" s="16"/>
      <c r="AG607" s="16"/>
      <c r="AH607" s="16"/>
      <c r="AI607" s="16"/>
      <c r="AJ607" s="16"/>
    </row>
    <row r="608" spans="1:69">
      <c r="D608" s="16"/>
      <c r="E608" s="16"/>
      <c r="F608" s="16"/>
      <c r="G608" s="16"/>
      <c r="H608" s="16"/>
      <c r="I608" s="16"/>
      <c r="J608" s="2428" t="s">
        <v>36</v>
      </c>
      <c r="K608" s="2429"/>
      <c r="L608" s="2429"/>
      <c r="M608" s="2429"/>
      <c r="N608" s="2430"/>
      <c r="O608" s="2310">
        <f>Application!CH625</f>
        <v>0</v>
      </c>
      <c r="P608" s="2311"/>
      <c r="Q608" s="2311"/>
      <c r="R608" s="2311"/>
      <c r="S608" s="2312"/>
      <c r="T608" s="2310">
        <f>Application!DM626</f>
        <v>0</v>
      </c>
      <c r="U608" s="2311"/>
      <c r="V608" s="2311"/>
      <c r="W608" s="2311"/>
      <c r="X608" s="2312"/>
      <c r="Y608" s="2398">
        <f t="shared" si="9"/>
        <v>0</v>
      </c>
      <c r="Z608" s="2399"/>
      <c r="AA608" s="2399"/>
      <c r="AB608" s="2399"/>
      <c r="AC608" s="2400"/>
      <c r="AD608" s="42"/>
      <c r="AF608" s="16"/>
      <c r="AG608" s="16"/>
      <c r="AH608" s="16"/>
      <c r="AI608" s="16"/>
      <c r="AJ608" s="16"/>
    </row>
    <row r="609" spans="1:60">
      <c r="D609" s="16"/>
      <c r="E609" s="16"/>
      <c r="F609" s="16"/>
      <c r="G609" s="16"/>
      <c r="H609" s="16"/>
      <c r="I609" s="16"/>
      <c r="J609" s="2428" t="s">
        <v>293</v>
      </c>
      <c r="K609" s="2429"/>
      <c r="L609" s="2429"/>
      <c r="M609" s="2429"/>
      <c r="N609" s="2430"/>
      <c r="O609" s="2310">
        <f>Application!CC625</f>
        <v>5</v>
      </c>
      <c r="P609" s="2311"/>
      <c r="Q609" s="2311"/>
      <c r="R609" s="2311"/>
      <c r="S609" s="2312"/>
      <c r="T609" s="2310">
        <f>Application!DH626</f>
        <v>1</v>
      </c>
      <c r="U609" s="2311"/>
      <c r="V609" s="2311"/>
      <c r="W609" s="2311"/>
      <c r="X609" s="2312"/>
      <c r="Y609" s="2398">
        <f t="shared" si="9"/>
        <v>0.2</v>
      </c>
      <c r="Z609" s="2399"/>
      <c r="AA609" s="2399"/>
      <c r="AB609" s="2399"/>
      <c r="AC609" s="2400"/>
      <c r="AD609" s="16"/>
      <c r="AF609" s="16"/>
      <c r="AG609" s="16"/>
      <c r="AH609" s="16"/>
      <c r="AI609" s="16"/>
      <c r="AJ609" s="16"/>
      <c r="AN609" s="1151"/>
    </row>
    <row r="610" spans="1:60">
      <c r="D610" s="16"/>
      <c r="E610" s="16"/>
      <c r="F610" s="16"/>
      <c r="G610" s="16"/>
      <c r="H610" s="16"/>
      <c r="I610" s="16"/>
      <c r="J610" s="2428" t="s">
        <v>292</v>
      </c>
      <c r="K610" s="2429"/>
      <c r="L610" s="2429"/>
      <c r="M610" s="2429"/>
      <c r="N610" s="2430"/>
      <c r="O610" s="2310">
        <f>Application!BX625</f>
        <v>8</v>
      </c>
      <c r="P610" s="2311"/>
      <c r="Q610" s="2311"/>
      <c r="R610" s="2311"/>
      <c r="S610" s="2312"/>
      <c r="T610" s="2310">
        <f>Application!DC626</f>
        <v>1</v>
      </c>
      <c r="U610" s="2311"/>
      <c r="V610" s="2311"/>
      <c r="W610" s="2311"/>
      <c r="X610" s="2312"/>
      <c r="Y610" s="2398">
        <f t="shared" si="9"/>
        <v>0.125</v>
      </c>
      <c r="Z610" s="2399"/>
      <c r="AA610" s="2399"/>
      <c r="AB610" s="2399"/>
      <c r="AC610" s="2400"/>
      <c r="AD610" s="16"/>
      <c r="AF610" s="16"/>
      <c r="AG610" s="16"/>
      <c r="AH610" s="16"/>
      <c r="AI610" s="16"/>
      <c r="AJ610" s="16"/>
      <c r="AN610" s="1151"/>
      <c r="AO610" s="46"/>
      <c r="AP610" s="30"/>
      <c r="AQ610" s="30"/>
      <c r="AR610" s="30"/>
      <c r="AS610" s="30"/>
      <c r="AT610" s="30"/>
    </row>
    <row r="611" spans="1:60">
      <c r="D611" s="16"/>
      <c r="E611" s="16"/>
      <c r="F611" s="16"/>
      <c r="G611" s="16"/>
      <c r="H611" s="16"/>
      <c r="I611" s="16"/>
      <c r="J611" s="2428" t="s">
        <v>291</v>
      </c>
      <c r="K611" s="2429"/>
      <c r="L611" s="2429"/>
      <c r="M611" s="2429"/>
      <c r="N611" s="2430"/>
      <c r="O611" s="2310">
        <f>Application!BS625</f>
        <v>12</v>
      </c>
      <c r="P611" s="2311"/>
      <c r="Q611" s="2311"/>
      <c r="R611" s="2311"/>
      <c r="S611" s="2312"/>
      <c r="T611" s="2310">
        <f>Application!CX626</f>
        <v>5</v>
      </c>
      <c r="U611" s="2311"/>
      <c r="V611" s="2311"/>
      <c r="W611" s="2311"/>
      <c r="X611" s="2312"/>
      <c r="Y611" s="2398">
        <f t="shared" si="9"/>
        <v>0.41666666666666669</v>
      </c>
      <c r="Z611" s="2399"/>
      <c r="AA611" s="2399"/>
      <c r="AB611" s="2399"/>
      <c r="AC611" s="2400"/>
      <c r="AD611" s="16"/>
      <c r="AF611" s="16"/>
      <c r="AG611" s="16"/>
      <c r="AH611" s="16"/>
      <c r="AI611" s="16"/>
      <c r="AJ611" s="16"/>
      <c r="AN611" s="1151"/>
      <c r="AQ611" s="30"/>
      <c r="AR611" s="30"/>
      <c r="AS611" s="30"/>
      <c r="AT611" s="30"/>
    </row>
    <row r="612" spans="1:60">
      <c r="D612" s="16"/>
      <c r="E612" s="16"/>
      <c r="F612" s="16"/>
      <c r="G612" s="16"/>
      <c r="H612" s="16"/>
      <c r="I612" s="16"/>
      <c r="J612" s="2428" t="s">
        <v>681</v>
      </c>
      <c r="K612" s="2429"/>
      <c r="L612" s="2429"/>
      <c r="M612" s="2429"/>
      <c r="N612" s="2430"/>
      <c r="O612" s="2310">
        <f>Application!BN625</f>
        <v>15</v>
      </c>
      <c r="P612" s="2311"/>
      <c r="Q612" s="2311"/>
      <c r="R612" s="2311"/>
      <c r="S612" s="2312"/>
      <c r="T612" s="2310">
        <f>Application!CS626</f>
        <v>15</v>
      </c>
      <c r="U612" s="2311"/>
      <c r="V612" s="2311"/>
      <c r="W612" s="2311"/>
      <c r="X612" s="2312"/>
      <c r="Y612" s="2398">
        <f t="shared" si="9"/>
        <v>1</v>
      </c>
      <c r="Z612" s="2399"/>
      <c r="AA612" s="2399"/>
      <c r="AB612" s="2399"/>
      <c r="AC612" s="2400"/>
      <c r="AD612" s="16"/>
      <c r="AF612" s="16"/>
      <c r="AG612" s="16"/>
      <c r="AH612" s="16"/>
      <c r="AI612" s="16"/>
      <c r="AJ612" s="16"/>
      <c r="AN612" s="1151"/>
      <c r="AQ612" s="30"/>
      <c r="AR612" s="30"/>
      <c r="AS612" s="30"/>
      <c r="AT612" s="30"/>
    </row>
    <row r="613" spans="1:60">
      <c r="D613" s="16"/>
      <c r="E613" s="16"/>
      <c r="F613" s="16"/>
      <c r="G613" s="16"/>
      <c r="H613" s="16"/>
      <c r="I613" s="16"/>
      <c r="J613" s="2424" t="s">
        <v>975</v>
      </c>
      <c r="K613" s="2425"/>
      <c r="L613" s="2425"/>
      <c r="M613" s="2425"/>
      <c r="N613" s="2426"/>
      <c r="O613" s="2421">
        <f>SUM(O607:S612)</f>
        <v>40</v>
      </c>
      <c r="P613" s="2422"/>
      <c r="Q613" s="2422"/>
      <c r="R613" s="2422"/>
      <c r="S613" s="2423"/>
      <c r="T613" s="2421">
        <f>SUM(T607:X612)</f>
        <v>22</v>
      </c>
      <c r="U613" s="2422"/>
      <c r="V613" s="2422"/>
      <c r="W613" s="2422"/>
      <c r="X613" s="2423"/>
      <c r="Y613" s="2555" t="s">
        <v>259</v>
      </c>
      <c r="Z613" s="2556"/>
      <c r="AA613" s="2556"/>
      <c r="AB613" s="2556"/>
      <c r="AC613" s="2557"/>
      <c r="AD613" s="16"/>
      <c r="AF613" s="16"/>
      <c r="AG613" s="16"/>
      <c r="AH613" s="16"/>
      <c r="AI613" s="16"/>
      <c r="AJ613" s="16"/>
      <c r="AN613" s="1151"/>
      <c r="AP613" s="30"/>
      <c r="AQ613" s="30"/>
      <c r="AR613" s="30"/>
      <c r="AS613" s="30"/>
      <c r="AT613" s="30"/>
    </row>
    <row r="614" spans="1:60">
      <c r="D614" s="16"/>
      <c r="E614" s="16"/>
      <c r="F614" s="16"/>
      <c r="G614" s="16"/>
      <c r="H614" s="16"/>
      <c r="I614" s="16"/>
      <c r="J614" s="16"/>
      <c r="K614" s="16"/>
      <c r="L614" s="16"/>
      <c r="M614" s="16"/>
      <c r="N614" s="16"/>
      <c r="O614" s="16"/>
      <c r="P614" s="16"/>
      <c r="Q614" s="16"/>
      <c r="R614" s="16"/>
      <c r="S614" s="16"/>
      <c r="T614" s="16"/>
      <c r="U614" s="16"/>
      <c r="V614" s="16"/>
      <c r="W614" s="16"/>
      <c r="X614" s="16"/>
      <c r="Y614" s="16"/>
      <c r="Z614" s="16"/>
      <c r="AA614" s="16"/>
      <c r="AB614" s="16"/>
      <c r="AC614" s="16"/>
      <c r="AG614" s="16"/>
      <c r="AN614" s="1151"/>
      <c r="AO614" s="66"/>
      <c r="AP614" s="30"/>
      <c r="AQ614" s="30"/>
      <c r="AR614" s="30"/>
      <c r="AS614" s="30"/>
      <c r="AT614" s="30"/>
    </row>
    <row r="615" spans="1:60">
      <c r="A615" s="15"/>
      <c r="E615" s="16"/>
      <c r="F615" s="16"/>
      <c r="G615" s="16"/>
      <c r="H615" s="16"/>
      <c r="I615" s="16"/>
      <c r="AG615" s="16"/>
      <c r="AN615" s="1151"/>
      <c r="AR615" s="30"/>
      <c r="AS615" s="30"/>
      <c r="AT615" s="30"/>
    </row>
    <row r="616" spans="1:60">
      <c r="A616" s="1848" t="s">
        <v>1691</v>
      </c>
      <c r="B616" s="1849"/>
      <c r="C616" s="1849"/>
      <c r="D616" s="1849"/>
      <c r="E616" s="1849"/>
      <c r="F616" s="1849"/>
      <c r="G616" s="1849"/>
      <c r="H616" s="1849"/>
      <c r="I616" s="1849"/>
      <c r="J616" s="1849"/>
      <c r="K616" s="1849"/>
      <c r="L616" s="1849"/>
      <c r="M616" s="1849"/>
      <c r="N616" s="1849"/>
      <c r="O616" s="1849"/>
      <c r="P616" s="1849"/>
      <c r="Q616" s="1849"/>
      <c r="R616" s="1849"/>
      <c r="S616" s="1849"/>
      <c r="T616" s="1849"/>
      <c r="U616" s="1849"/>
      <c r="V616" s="1849"/>
      <c r="W616" s="1849"/>
      <c r="X616" s="1849"/>
      <c r="Y616" s="1849"/>
      <c r="Z616" s="1849"/>
      <c r="AA616" s="1849"/>
      <c r="AB616" s="1849"/>
      <c r="AC616" s="1849"/>
      <c r="AD616" s="1849"/>
      <c r="AE616" s="1849"/>
      <c r="AF616" s="1849"/>
      <c r="AG616" s="1849"/>
      <c r="AH616" s="1849"/>
      <c r="AI616" s="1851"/>
      <c r="AJ616" s="2448">
        <v>2</v>
      </c>
      <c r="AK616" s="2449"/>
      <c r="AN616" s="1151"/>
      <c r="AR616" s="30"/>
      <c r="AS616" s="30"/>
      <c r="AT616" s="30"/>
    </row>
    <row r="617" spans="1:60">
      <c r="A617" s="86"/>
      <c r="B617" s="262"/>
      <c r="C617" s="262"/>
      <c r="D617" s="46"/>
      <c r="E617" s="46"/>
      <c r="F617" s="46"/>
      <c r="G617" s="46"/>
      <c r="H617" s="46"/>
      <c r="I617" s="46"/>
      <c r="J617" s="46"/>
      <c r="K617" s="46"/>
      <c r="L617" s="46"/>
      <c r="M617" s="46"/>
      <c r="N617" s="46"/>
      <c r="O617" s="46"/>
      <c r="P617" s="46"/>
      <c r="Q617" s="46"/>
      <c r="R617" s="46"/>
      <c r="S617" s="46"/>
      <c r="T617" s="46"/>
      <c r="U617" s="46"/>
      <c r="V617" s="46"/>
      <c r="W617" s="46"/>
      <c r="X617" s="46"/>
      <c r="Y617" s="46"/>
      <c r="Z617" s="46"/>
      <c r="AA617" s="46"/>
      <c r="AB617" s="46"/>
      <c r="AC617" s="46"/>
      <c r="AD617" s="46"/>
      <c r="AE617" s="46"/>
      <c r="AF617" s="46"/>
      <c r="AG617" s="46"/>
      <c r="AH617" s="46"/>
      <c r="AI617" s="46"/>
      <c r="AJ617" s="46"/>
      <c r="AK617" s="46"/>
      <c r="AL617" s="46"/>
      <c r="AN617" s="1151"/>
      <c r="BD617" s="65"/>
      <c r="BE617" s="65"/>
      <c r="BF617" s="65"/>
      <c r="BG617" s="65"/>
      <c r="BH617" s="65"/>
    </row>
    <row r="618" spans="1:60">
      <c r="A618" s="2570" t="s">
        <v>197</v>
      </c>
      <c r="B618" s="2570"/>
      <c r="C618" s="2570"/>
      <c r="D618" s="2570"/>
      <c r="E618" s="2570"/>
      <c r="F618" s="2570"/>
      <c r="G618" s="2570"/>
      <c r="H618" s="2570"/>
      <c r="I618" s="2570"/>
      <c r="J618" s="2570"/>
      <c r="K618" s="2570"/>
      <c r="L618" s="2570"/>
      <c r="M618" s="2570"/>
      <c r="N618" s="2570"/>
      <c r="O618" s="2570"/>
      <c r="P618" s="2570"/>
      <c r="Q618" s="2570"/>
      <c r="R618" s="2570"/>
      <c r="S618" s="2570"/>
      <c r="T618" s="2570"/>
      <c r="U618" s="2570"/>
      <c r="V618" s="2570"/>
      <c r="W618" s="2570"/>
      <c r="X618" s="2570"/>
      <c r="Y618" s="2570"/>
      <c r="Z618" s="2570"/>
      <c r="AA618" s="2570"/>
      <c r="AB618" s="2570"/>
      <c r="AC618" s="2570"/>
      <c r="AD618" s="2570"/>
      <c r="AE618" s="2570"/>
      <c r="AF618" s="2570"/>
      <c r="AG618" s="2570"/>
      <c r="AH618" s="2570"/>
      <c r="AI618" s="2570"/>
      <c r="AJ618" s="2570"/>
      <c r="AK618" s="2373">
        <f>IF($AC$592=0,0,$AC$592+$AJ$616)</f>
        <v>74.5</v>
      </c>
      <c r="AL618" s="2456"/>
      <c r="AM618" s="2374"/>
      <c r="AN618" s="1151"/>
      <c r="BD618" s="65"/>
      <c r="BE618" s="65"/>
      <c r="BF618" s="65"/>
      <c r="BG618" s="65"/>
      <c r="BH618" s="65"/>
    </row>
    <row r="619" spans="1:60">
      <c r="A619" s="125"/>
      <c r="B619" s="162"/>
      <c r="C619" s="152"/>
      <c r="D619" s="162"/>
      <c r="E619" s="28"/>
      <c r="F619" s="153"/>
      <c r="G619" s="153"/>
      <c r="H619" s="153"/>
      <c r="I619" s="153"/>
      <c r="J619" s="153"/>
      <c r="K619" s="153"/>
      <c r="L619" s="153"/>
      <c r="M619" s="153"/>
      <c r="N619" s="153"/>
      <c r="O619" s="153"/>
      <c r="P619" s="153"/>
      <c r="Q619" s="153"/>
      <c r="R619" s="153"/>
      <c r="S619" s="153"/>
      <c r="T619" s="153"/>
      <c r="U619" s="153"/>
      <c r="V619" s="153"/>
      <c r="W619" s="153"/>
      <c r="X619" s="153"/>
      <c r="Y619" s="153"/>
      <c r="Z619" s="153"/>
      <c r="AA619" s="153"/>
      <c r="AB619" s="153"/>
      <c r="AC619" s="153"/>
      <c r="AD619" s="153"/>
      <c r="AE619" s="153"/>
      <c r="AF619" s="153"/>
      <c r="AG619" s="153"/>
      <c r="AH619" s="153"/>
      <c r="AI619" s="153"/>
      <c r="AJ619" s="46"/>
      <c r="AM619" s="153"/>
      <c r="AN619" s="1151"/>
      <c r="AR619" s="30"/>
      <c r="AS619" s="30"/>
      <c r="AT619" s="30"/>
    </row>
    <row r="620" spans="1:60">
      <c r="A620" s="106" t="s">
        <v>2236</v>
      </c>
      <c r="B620" s="46"/>
      <c r="C620" s="152"/>
      <c r="D620" s="46"/>
      <c r="E620" s="28"/>
      <c r="F620" s="153"/>
      <c r="G620" s="153"/>
      <c r="H620" s="153"/>
      <c r="I620" s="153"/>
      <c r="J620" s="153"/>
      <c r="K620" s="153"/>
      <c r="L620" s="153"/>
      <c r="M620" s="153"/>
      <c r="N620" s="153"/>
      <c r="O620" s="153"/>
      <c r="P620" s="153"/>
      <c r="Q620" s="153"/>
      <c r="R620" s="153"/>
      <c r="S620" s="153"/>
      <c r="T620" s="153"/>
      <c r="U620" s="153"/>
      <c r="V620" s="153"/>
      <c r="W620" s="153"/>
      <c r="X620" s="153"/>
      <c r="Y620" s="153"/>
      <c r="Z620" s="153"/>
      <c r="AA620" s="153"/>
      <c r="AB620" s="153"/>
      <c r="AC620" s="153"/>
      <c r="AD620" s="153"/>
      <c r="AE620" s="153"/>
      <c r="AF620" s="153"/>
      <c r="AG620" s="153"/>
      <c r="AH620" s="153"/>
      <c r="AI620" s="153"/>
      <c r="AJ620" s="46"/>
      <c r="AK620" s="153"/>
      <c r="AL620" s="153"/>
      <c r="AM620" s="153"/>
      <c r="AN620" s="1151"/>
      <c r="AO620" s="46"/>
      <c r="AR620" s="30"/>
      <c r="AS620" s="30"/>
      <c r="AT620" s="30"/>
    </row>
    <row r="621" spans="1:60" ht="13.65" customHeight="1">
      <c r="A621" s="26"/>
      <c r="AI621" s="27"/>
      <c r="AJ621" s="46"/>
      <c r="AK621" s="153"/>
      <c r="AL621" s="153"/>
      <c r="AM621" s="153"/>
      <c r="AN621" s="1151"/>
      <c r="AO621" s="46"/>
      <c r="AR621" s="30"/>
      <c r="AS621" s="30"/>
      <c r="AT621" s="30"/>
    </row>
    <row r="622" spans="1:60" ht="13.65" customHeight="1">
      <c r="A622" s="29"/>
      <c r="B622" s="2427" t="s">
        <v>1692</v>
      </c>
      <c r="C622" s="2427"/>
      <c r="D622" s="2427"/>
      <c r="E622" s="2427"/>
      <c r="F622" s="2427"/>
      <c r="G622" s="2427"/>
      <c r="H622" s="2427"/>
      <c r="I622" s="2427"/>
      <c r="J622" s="2427"/>
      <c r="K622" s="2427"/>
      <c r="L622" s="2427"/>
      <c r="M622" s="2427"/>
      <c r="N622" s="2427"/>
      <c r="O622" s="2427"/>
      <c r="P622" s="2427"/>
      <c r="Q622" s="2427"/>
      <c r="R622" s="2427"/>
      <c r="S622" s="2427"/>
      <c r="T622" s="2427"/>
      <c r="U622" s="2427"/>
      <c r="V622" s="2427"/>
      <c r="W622" s="2427"/>
      <c r="X622" s="2427"/>
      <c r="Y622" s="2427"/>
      <c r="Z622" s="2427"/>
      <c r="AA622" s="2427"/>
      <c r="AB622" s="2427"/>
      <c r="AC622" s="2427"/>
      <c r="AD622" s="2427"/>
      <c r="AE622" s="2427"/>
      <c r="AF622" s="2427"/>
      <c r="AG622" s="2427"/>
      <c r="AH622" s="2427"/>
      <c r="AI622" s="27"/>
      <c r="AJ622" s="46"/>
      <c r="AK622" s="153"/>
      <c r="AL622" s="153"/>
      <c r="AM622" s="153"/>
      <c r="AN622" s="1151"/>
      <c r="AO622" s="66"/>
      <c r="AP622" s="30"/>
      <c r="AQ622" s="30"/>
      <c r="AR622" s="30"/>
      <c r="AS622" s="30"/>
      <c r="AT622" s="30"/>
    </row>
    <row r="623" spans="1:60" ht="22.65" customHeight="1">
      <c r="A623" s="28"/>
      <c r="B623" s="2427"/>
      <c r="C623" s="2427"/>
      <c r="D623" s="2427"/>
      <c r="E623" s="2427"/>
      <c r="F623" s="2427"/>
      <c r="G623" s="2427"/>
      <c r="H623" s="2427"/>
      <c r="I623" s="2427"/>
      <c r="J623" s="2427"/>
      <c r="K623" s="2427"/>
      <c r="L623" s="2427"/>
      <c r="M623" s="2427"/>
      <c r="N623" s="2427"/>
      <c r="O623" s="2427"/>
      <c r="P623" s="2427"/>
      <c r="Q623" s="2427"/>
      <c r="R623" s="2427"/>
      <c r="S623" s="2427"/>
      <c r="T623" s="2427"/>
      <c r="U623" s="2427"/>
      <c r="V623" s="2427"/>
      <c r="W623" s="2427"/>
      <c r="X623" s="2427"/>
      <c r="Y623" s="2427"/>
      <c r="Z623" s="2427"/>
      <c r="AA623" s="2427"/>
      <c r="AB623" s="2427"/>
      <c r="AC623" s="2427"/>
      <c r="AD623" s="2427"/>
      <c r="AE623" s="2427"/>
      <c r="AF623" s="2427"/>
      <c r="AG623" s="2427"/>
      <c r="AH623" s="2427"/>
      <c r="AI623" s="46"/>
      <c r="AJ623" s="46"/>
      <c r="AK623" s="46"/>
      <c r="AL623" s="46"/>
      <c r="AM623" s="153"/>
      <c r="AN623" s="1151"/>
      <c r="AS623" s="30"/>
      <c r="AT623" s="30"/>
    </row>
    <row r="624" spans="1:60">
      <c r="A624" s="28"/>
      <c r="B624" s="57"/>
      <c r="C624" s="264" t="s">
        <v>190</v>
      </c>
      <c r="D624" s="46"/>
      <c r="E624" s="46"/>
      <c r="F624" s="245"/>
      <c r="G624" s="245"/>
      <c r="H624" s="245"/>
      <c r="I624" s="245"/>
      <c r="J624" s="245"/>
      <c r="K624" s="245"/>
      <c r="L624" s="245"/>
      <c r="M624" s="245"/>
      <c r="N624" s="245"/>
      <c r="O624" s="245"/>
      <c r="P624" s="245"/>
      <c r="Q624" s="245"/>
      <c r="R624" s="245"/>
      <c r="S624" s="245"/>
      <c r="T624" s="245"/>
      <c r="U624" s="245"/>
      <c r="V624" s="245"/>
      <c r="W624" s="245"/>
      <c r="X624" s="245"/>
      <c r="Y624" s="245"/>
      <c r="Z624" s="245"/>
      <c r="AA624" s="245"/>
      <c r="AB624" s="245"/>
      <c r="AC624" s="46"/>
      <c r="AD624" s="46"/>
      <c r="AE624" s="46"/>
      <c r="AF624" s="26"/>
      <c r="AG624" s="46"/>
      <c r="AH624" s="26" t="s">
        <v>408</v>
      </c>
      <c r="AI624" s="26"/>
      <c r="AJ624" s="26"/>
      <c r="AK624" s="26"/>
      <c r="AL624" s="1301"/>
      <c r="AM624" s="153"/>
      <c r="AN624" s="1151"/>
      <c r="AS624" s="30"/>
      <c r="AT624" s="30"/>
    </row>
    <row r="625" spans="1:46">
      <c r="A625" s="28"/>
      <c r="B625" s="57"/>
      <c r="C625" s="188"/>
      <c r="D625" s="46"/>
      <c r="E625" s="46"/>
      <c r="F625" s="46"/>
      <c r="G625" s="46"/>
      <c r="H625" s="46"/>
      <c r="I625" s="46"/>
      <c r="J625" s="46"/>
      <c r="K625" s="46"/>
      <c r="L625" s="46"/>
      <c r="M625" s="46"/>
      <c r="N625" s="46"/>
      <c r="O625" s="46"/>
      <c r="P625" s="46"/>
      <c r="Q625" s="46"/>
      <c r="R625" s="46"/>
      <c r="S625" s="46"/>
      <c r="T625" s="46"/>
      <c r="U625" s="46"/>
      <c r="V625" s="46"/>
      <c r="W625" s="46"/>
      <c r="X625" s="46"/>
      <c r="Y625" s="46"/>
      <c r="Z625" s="46"/>
      <c r="AA625" s="46"/>
      <c r="AB625" s="46"/>
      <c r="AC625" s="46"/>
      <c r="AD625" s="245"/>
      <c r="AE625" s="245"/>
      <c r="AF625" s="245"/>
      <c r="AG625" s="245"/>
      <c r="AH625" s="245"/>
      <c r="AI625" s="245"/>
      <c r="AJ625" s="46"/>
      <c r="AK625" s="153"/>
      <c r="AL625" s="153"/>
      <c r="AM625" s="153"/>
      <c r="AN625" s="1151"/>
      <c r="AS625" s="30"/>
      <c r="AT625" s="30"/>
    </row>
    <row r="626" spans="1:46" ht="13.65" customHeight="1">
      <c r="A626" s="28"/>
      <c r="B626" s="203"/>
      <c r="C626" s="1786" t="s">
        <v>119</v>
      </c>
      <c r="D626" s="1786"/>
      <c r="E626" s="293" t="s">
        <v>641</v>
      </c>
      <c r="F626" s="2432" t="s">
        <v>2191</v>
      </c>
      <c r="G626" s="2433"/>
      <c r="H626" s="2433"/>
      <c r="I626" s="2433"/>
      <c r="J626" s="2433"/>
      <c r="K626" s="2433"/>
      <c r="L626" s="2433"/>
      <c r="M626" s="2433"/>
      <c r="N626" s="2433"/>
      <c r="O626" s="2433"/>
      <c r="P626" s="2433"/>
      <c r="Q626" s="2433"/>
      <c r="R626" s="2433"/>
      <c r="S626" s="2433"/>
      <c r="T626" s="2433"/>
      <c r="U626" s="2433"/>
      <c r="V626" s="2433"/>
      <c r="W626" s="2433"/>
      <c r="X626" s="2433"/>
      <c r="Y626" s="2433"/>
      <c r="Z626" s="2433"/>
      <c r="AA626" s="2433"/>
      <c r="AB626" s="2433"/>
      <c r="AC626" s="2433"/>
      <c r="AD626" s="2434"/>
      <c r="AE626" s="46"/>
      <c r="AF626" s="265"/>
      <c r="AG626" s="2431" t="s">
        <v>64</v>
      </c>
      <c r="AH626" s="2431"/>
      <c r="AI626" s="2431"/>
      <c r="AJ626" s="2431"/>
      <c r="AK626" s="153"/>
      <c r="AL626" s="153"/>
      <c r="AM626" s="153"/>
      <c r="AN626" s="1151"/>
      <c r="AO626" s="46">
        <f>IF($C$626="yes",5,0)</f>
        <v>5</v>
      </c>
      <c r="AS626" s="30"/>
      <c r="AT626" s="30"/>
    </row>
    <row r="627" spans="1:46" ht="13.65" customHeight="1">
      <c r="A627" s="28"/>
      <c r="B627" s="203"/>
      <c r="C627" s="77"/>
      <c r="D627" s="46"/>
      <c r="E627" s="293"/>
      <c r="F627" s="2435"/>
      <c r="G627" s="2436"/>
      <c r="H627" s="2436"/>
      <c r="I627" s="2436"/>
      <c r="J627" s="2436"/>
      <c r="K627" s="2436"/>
      <c r="L627" s="2436"/>
      <c r="M627" s="2436"/>
      <c r="N627" s="2436"/>
      <c r="O627" s="2436"/>
      <c r="P627" s="2436"/>
      <c r="Q627" s="2436"/>
      <c r="R627" s="2436"/>
      <c r="S627" s="2436"/>
      <c r="T627" s="2436"/>
      <c r="U627" s="2436"/>
      <c r="V627" s="2436"/>
      <c r="W627" s="2436"/>
      <c r="X627" s="2436"/>
      <c r="Y627" s="2436"/>
      <c r="Z627" s="2436"/>
      <c r="AA627" s="2436"/>
      <c r="AB627" s="2436"/>
      <c r="AC627" s="2436"/>
      <c r="AD627" s="2437"/>
      <c r="AE627" s="46"/>
      <c r="AF627" s="265"/>
      <c r="AG627" s="265"/>
      <c r="AH627" s="265"/>
      <c r="AI627" s="265"/>
      <c r="AJ627" s="46"/>
      <c r="AK627" s="153"/>
      <c r="AL627" s="153"/>
      <c r="AM627" s="153"/>
      <c r="AN627" s="1151"/>
      <c r="AO627" s="46">
        <f>IF($C$629="yes",5,0)</f>
        <v>5</v>
      </c>
      <c r="AS627" s="30"/>
      <c r="AT627" s="30"/>
    </row>
    <row r="628" spans="1:46">
      <c r="A628" s="28"/>
      <c r="B628" s="203"/>
      <c r="C628" s="77"/>
      <c r="D628" s="46"/>
      <c r="E628" s="293"/>
      <c r="F628" s="245"/>
      <c r="G628" s="245"/>
      <c r="H628" s="245"/>
      <c r="I628" s="245"/>
      <c r="J628" s="245"/>
      <c r="K628" s="245"/>
      <c r="L628" s="245"/>
      <c r="M628" s="245"/>
      <c r="N628" s="245"/>
      <c r="O628" s="245"/>
      <c r="P628" s="245"/>
      <c r="Q628" s="245"/>
      <c r="R628" s="245"/>
      <c r="S628" s="245"/>
      <c r="T628" s="245"/>
      <c r="U628" s="245"/>
      <c r="V628" s="245"/>
      <c r="W628" s="245"/>
      <c r="X628" s="245"/>
      <c r="Y628" s="245"/>
      <c r="Z628" s="245"/>
      <c r="AA628" s="245"/>
      <c r="AB628" s="245"/>
      <c r="AC628" s="245"/>
      <c r="AD628" s="1326"/>
      <c r="AE628" s="46"/>
      <c r="AF628" s="265"/>
      <c r="AG628" s="265"/>
      <c r="AH628" s="265"/>
      <c r="AI628" s="265"/>
      <c r="AJ628" s="46"/>
      <c r="AK628" s="153"/>
      <c r="AL628" s="153"/>
      <c r="AM628" s="153"/>
      <c r="AN628" s="1151"/>
      <c r="AO628" s="46">
        <f>SUM(AO626:AO627)</f>
        <v>10</v>
      </c>
      <c r="AP628" s="64" t="s">
        <v>356</v>
      </c>
      <c r="AS628" s="30"/>
      <c r="AT628" s="30"/>
    </row>
    <row r="629" spans="1:46" ht="13.65" customHeight="1">
      <c r="A629" s="28"/>
      <c r="B629" s="203"/>
      <c r="C629" s="1786" t="s">
        <v>119</v>
      </c>
      <c r="D629" s="1786"/>
      <c r="E629" s="293" t="s">
        <v>214</v>
      </c>
      <c r="F629" s="2432" t="s">
        <v>2238</v>
      </c>
      <c r="G629" s="2433"/>
      <c r="H629" s="2433"/>
      <c r="I629" s="2433"/>
      <c r="J629" s="2433"/>
      <c r="K629" s="2433"/>
      <c r="L629" s="2433"/>
      <c r="M629" s="2433"/>
      <c r="N629" s="2433"/>
      <c r="O629" s="2433"/>
      <c r="P629" s="2433"/>
      <c r="Q629" s="2433"/>
      <c r="R629" s="2433"/>
      <c r="S629" s="2433"/>
      <c r="T629" s="2433"/>
      <c r="U629" s="2433"/>
      <c r="V629" s="2433"/>
      <c r="W629" s="2433"/>
      <c r="X629" s="2433"/>
      <c r="Y629" s="2433"/>
      <c r="Z629" s="2433"/>
      <c r="AA629" s="2433"/>
      <c r="AB629" s="2433"/>
      <c r="AC629" s="2433"/>
      <c r="AD629" s="2434"/>
      <c r="AE629" s="46"/>
      <c r="AF629" s="265"/>
      <c r="AG629" s="2431" t="s">
        <v>64</v>
      </c>
      <c r="AH629" s="2431"/>
      <c r="AI629" s="2431"/>
      <c r="AJ629" s="2431"/>
      <c r="AK629" s="153"/>
      <c r="AL629" s="153"/>
      <c r="AM629" s="153"/>
      <c r="AN629" s="1151"/>
      <c r="AS629" s="30"/>
      <c r="AT629" s="30"/>
    </row>
    <row r="630" spans="1:46">
      <c r="A630" s="28"/>
      <c r="B630" s="203"/>
      <c r="C630" s="77"/>
      <c r="D630" s="46"/>
      <c r="E630" s="293"/>
      <c r="F630" s="2435"/>
      <c r="G630" s="2436"/>
      <c r="H630" s="2436"/>
      <c r="I630" s="2436"/>
      <c r="J630" s="2436"/>
      <c r="K630" s="2436"/>
      <c r="L630" s="2436"/>
      <c r="M630" s="2436"/>
      <c r="N630" s="2436"/>
      <c r="O630" s="2436"/>
      <c r="P630" s="2436"/>
      <c r="Q630" s="2436"/>
      <c r="R630" s="2436"/>
      <c r="S630" s="2436"/>
      <c r="T630" s="2436"/>
      <c r="U630" s="2436"/>
      <c r="V630" s="2436"/>
      <c r="W630" s="2436"/>
      <c r="X630" s="2436"/>
      <c r="Y630" s="2436"/>
      <c r="Z630" s="2436"/>
      <c r="AA630" s="2436"/>
      <c r="AB630" s="2436"/>
      <c r="AC630" s="2436"/>
      <c r="AD630" s="2437"/>
      <c r="AE630" s="46"/>
      <c r="AF630" s="265"/>
      <c r="AG630" s="265"/>
      <c r="AH630" s="265"/>
      <c r="AI630" s="265"/>
      <c r="AJ630" s="46"/>
      <c r="AK630" s="153"/>
      <c r="AL630" s="153"/>
      <c r="AM630" s="153"/>
      <c r="AN630" s="1151"/>
      <c r="AS630" s="30"/>
      <c r="AT630" s="30"/>
    </row>
    <row r="631" spans="1:46">
      <c r="A631" s="28"/>
      <c r="B631" s="203"/>
      <c r="C631" s="77"/>
      <c r="D631" s="46"/>
      <c r="E631" s="293"/>
      <c r="F631" s="1420"/>
      <c r="G631" s="1420"/>
      <c r="H631" s="1420"/>
      <c r="I631" s="1420"/>
      <c r="J631" s="1420"/>
      <c r="K631" s="1420"/>
      <c r="L631" s="1420"/>
      <c r="M631" s="1420"/>
      <c r="N631" s="1420"/>
      <c r="O631" s="1420"/>
      <c r="P631" s="1420"/>
      <c r="Q631" s="1420"/>
      <c r="R631" s="1420"/>
      <c r="S631" s="1420"/>
      <c r="T631" s="1420"/>
      <c r="U631" s="1420"/>
      <c r="V631" s="1420"/>
      <c r="W631" s="1420"/>
      <c r="X631" s="1420"/>
      <c r="Y631" s="1420"/>
      <c r="Z631" s="1420"/>
      <c r="AA631" s="1420"/>
      <c r="AB631" s="1420"/>
      <c r="AC631" s="1420"/>
      <c r="AD631" s="1420"/>
      <c r="AE631" s="162"/>
      <c r="AF631" s="265"/>
      <c r="AG631" s="265"/>
      <c r="AH631" s="265"/>
      <c r="AI631" s="265"/>
      <c r="AJ631" s="46"/>
      <c r="AK631" s="153"/>
      <c r="AL631" s="153"/>
      <c r="AM631" s="153"/>
      <c r="AN631" s="1151"/>
      <c r="AS631" s="30"/>
      <c r="AT631" s="30"/>
    </row>
    <row r="632" spans="1:46" ht="13.65" customHeight="1">
      <c r="A632" s="28"/>
      <c r="B632" s="2427" t="s">
        <v>2079</v>
      </c>
      <c r="C632" s="2427"/>
      <c r="D632" s="2427"/>
      <c r="E632" s="2427"/>
      <c r="F632" s="2427"/>
      <c r="G632" s="2427"/>
      <c r="H632" s="2427"/>
      <c r="I632" s="2427"/>
      <c r="J632" s="2427"/>
      <c r="K632" s="2427"/>
      <c r="L632" s="2427"/>
      <c r="M632" s="2427"/>
      <c r="N632" s="2427"/>
      <c r="O632" s="2427"/>
      <c r="P632" s="2427"/>
      <c r="Q632" s="2427"/>
      <c r="R632" s="2427"/>
      <c r="S632" s="2427"/>
      <c r="T632" s="2427"/>
      <c r="U632" s="2427"/>
      <c r="V632" s="2427"/>
      <c r="W632" s="2427"/>
      <c r="X632" s="2427"/>
      <c r="Y632" s="2427"/>
      <c r="Z632" s="2427"/>
      <c r="AA632" s="2427"/>
      <c r="AB632" s="2427"/>
      <c r="AC632" s="2427"/>
      <c r="AD632" s="2427"/>
      <c r="AE632" s="2427"/>
      <c r="AF632" s="2427"/>
      <c r="AG632" s="2427"/>
      <c r="AH632" s="2427"/>
      <c r="AI632" s="265"/>
      <c r="AJ632" s="46"/>
      <c r="AK632" s="153"/>
      <c r="AL632" s="153"/>
      <c r="AM632" s="153"/>
    </row>
    <row r="633" spans="1:46" ht="13.65" customHeight="1">
      <c r="B633" s="2427"/>
      <c r="C633" s="2427"/>
      <c r="D633" s="2427"/>
      <c r="E633" s="2427"/>
      <c r="F633" s="2427"/>
      <c r="G633" s="2427"/>
      <c r="H633" s="2427"/>
      <c r="I633" s="2427"/>
      <c r="J633" s="2427"/>
      <c r="K633" s="2427"/>
      <c r="L633" s="2427"/>
      <c r="M633" s="2427"/>
      <c r="N633" s="2427"/>
      <c r="O633" s="2427"/>
      <c r="P633" s="2427"/>
      <c r="Q633" s="2427"/>
      <c r="R633" s="2427"/>
      <c r="S633" s="2427"/>
      <c r="T633" s="2427"/>
      <c r="U633" s="2427"/>
      <c r="V633" s="2427"/>
      <c r="W633" s="2427"/>
      <c r="X633" s="2427"/>
      <c r="Y633" s="2427"/>
      <c r="Z633" s="2427"/>
      <c r="AA633" s="2427"/>
      <c r="AB633" s="2427"/>
      <c r="AC633" s="2427"/>
      <c r="AD633" s="2427"/>
      <c r="AE633" s="2427"/>
      <c r="AF633" s="2427"/>
      <c r="AG633" s="2427"/>
      <c r="AH633" s="2427"/>
      <c r="AI633" s="245"/>
      <c r="AJ633" s="46"/>
      <c r="AK633" s="153"/>
      <c r="AL633" s="153"/>
      <c r="AM633" s="153"/>
    </row>
    <row r="634" spans="1:46" ht="13.65" customHeight="1">
      <c r="A634" s="263"/>
      <c r="B634" s="2427"/>
      <c r="C634" s="2427"/>
      <c r="D634" s="2427"/>
      <c r="E634" s="2427"/>
      <c r="F634" s="2427"/>
      <c r="G634" s="2427"/>
      <c r="H634" s="2427"/>
      <c r="I634" s="2427"/>
      <c r="J634" s="2427"/>
      <c r="K634" s="2427"/>
      <c r="L634" s="2427"/>
      <c r="M634" s="2427"/>
      <c r="N634" s="2427"/>
      <c r="O634" s="2427"/>
      <c r="P634" s="2427"/>
      <c r="Q634" s="2427"/>
      <c r="R634" s="2427"/>
      <c r="S634" s="2427"/>
      <c r="T634" s="2427"/>
      <c r="U634" s="2427"/>
      <c r="V634" s="2427"/>
      <c r="W634" s="2427"/>
      <c r="X634" s="2427"/>
      <c r="Y634" s="2427"/>
      <c r="Z634" s="2427"/>
      <c r="AA634" s="2427"/>
      <c r="AB634" s="2427"/>
      <c r="AC634" s="2427"/>
      <c r="AD634" s="2427"/>
      <c r="AE634" s="2427"/>
      <c r="AF634" s="2427"/>
      <c r="AG634" s="2427"/>
      <c r="AH634" s="2427"/>
      <c r="AI634" s="245"/>
      <c r="AJ634" s="46"/>
      <c r="AK634" s="153"/>
      <c r="AL634" s="153"/>
      <c r="AM634" s="153"/>
      <c r="AN634" s="124"/>
    </row>
    <row r="635" spans="1:46" ht="13.65" customHeight="1">
      <c r="A635" s="46"/>
      <c r="B635" s="2427"/>
      <c r="C635" s="2427"/>
      <c r="D635" s="2427"/>
      <c r="E635" s="2427"/>
      <c r="F635" s="2427"/>
      <c r="G635" s="2427"/>
      <c r="H635" s="2427"/>
      <c r="I635" s="2427"/>
      <c r="J635" s="2427"/>
      <c r="K635" s="2427"/>
      <c r="L635" s="2427"/>
      <c r="M635" s="2427"/>
      <c r="N635" s="2427"/>
      <c r="O635" s="2427"/>
      <c r="P635" s="2427"/>
      <c r="Q635" s="2427"/>
      <c r="R635" s="2427"/>
      <c r="S635" s="2427"/>
      <c r="T635" s="2427"/>
      <c r="U635" s="2427"/>
      <c r="V635" s="2427"/>
      <c r="W635" s="2427"/>
      <c r="X635" s="2427"/>
      <c r="Y635" s="2427"/>
      <c r="Z635" s="2427"/>
      <c r="AA635" s="2427"/>
      <c r="AB635" s="2427"/>
      <c r="AC635" s="2427"/>
      <c r="AD635" s="2427"/>
      <c r="AE635" s="2427"/>
      <c r="AF635" s="2427"/>
      <c r="AG635" s="2427"/>
      <c r="AH635" s="2427"/>
      <c r="AI635" s="245"/>
      <c r="AJ635" s="46"/>
      <c r="AK635" s="153"/>
      <c r="AL635" s="153"/>
      <c r="AM635" s="153"/>
      <c r="AN635" s="124"/>
    </row>
    <row r="636" spans="1:46" ht="13.65" customHeight="1">
      <c r="A636" s="46"/>
      <c r="B636" s="2427"/>
      <c r="C636" s="2427"/>
      <c r="D636" s="2427"/>
      <c r="E636" s="2427"/>
      <c r="F636" s="2427"/>
      <c r="G636" s="2427"/>
      <c r="H636" s="2427"/>
      <c r="I636" s="2427"/>
      <c r="J636" s="2427"/>
      <c r="K636" s="2427"/>
      <c r="L636" s="2427"/>
      <c r="M636" s="2427"/>
      <c r="N636" s="2427"/>
      <c r="O636" s="2427"/>
      <c r="P636" s="2427"/>
      <c r="Q636" s="2427"/>
      <c r="R636" s="2427"/>
      <c r="S636" s="2427"/>
      <c r="T636" s="2427"/>
      <c r="U636" s="2427"/>
      <c r="V636" s="2427"/>
      <c r="W636" s="2427"/>
      <c r="X636" s="2427"/>
      <c r="Y636" s="2427"/>
      <c r="Z636" s="2427"/>
      <c r="AA636" s="2427"/>
      <c r="AB636" s="2427"/>
      <c r="AC636" s="2427"/>
      <c r="AD636" s="2427"/>
      <c r="AE636" s="2427"/>
      <c r="AF636" s="2427"/>
      <c r="AG636" s="2427"/>
      <c r="AH636" s="2427"/>
      <c r="AI636" s="245"/>
      <c r="AJ636" s="46"/>
      <c r="AK636" s="153"/>
      <c r="AL636" s="153"/>
      <c r="AM636" s="153"/>
      <c r="AN636" s="124"/>
    </row>
    <row r="637" spans="1:46" ht="13.65" customHeight="1">
      <c r="A637" s="263"/>
      <c r="B637" s="2427"/>
      <c r="C637" s="2427"/>
      <c r="D637" s="2427"/>
      <c r="E637" s="2427"/>
      <c r="F637" s="2427"/>
      <c r="G637" s="2427"/>
      <c r="H637" s="2427"/>
      <c r="I637" s="2427"/>
      <c r="J637" s="2427"/>
      <c r="K637" s="2427"/>
      <c r="L637" s="2427"/>
      <c r="M637" s="2427"/>
      <c r="N637" s="2427"/>
      <c r="O637" s="2427"/>
      <c r="P637" s="2427"/>
      <c r="Q637" s="2427"/>
      <c r="R637" s="2427"/>
      <c r="S637" s="2427"/>
      <c r="T637" s="2427"/>
      <c r="U637" s="2427"/>
      <c r="V637" s="2427"/>
      <c r="W637" s="2427"/>
      <c r="X637" s="2427"/>
      <c r="Y637" s="2427"/>
      <c r="Z637" s="2427"/>
      <c r="AA637" s="2427"/>
      <c r="AB637" s="2427"/>
      <c r="AC637" s="2427"/>
      <c r="AD637" s="2427"/>
      <c r="AE637" s="2427"/>
      <c r="AF637" s="2427"/>
      <c r="AG637" s="2427"/>
      <c r="AH637" s="2427"/>
      <c r="AI637" s="245"/>
      <c r="AJ637" s="46"/>
      <c r="AK637" s="153"/>
      <c r="AL637" s="153"/>
      <c r="AM637" s="153"/>
      <c r="AN637" s="124"/>
    </row>
    <row r="638" spans="1:46" ht="13.65" customHeight="1">
      <c r="A638" s="263"/>
      <c r="B638" s="2427"/>
      <c r="C638" s="2427"/>
      <c r="D638" s="2427"/>
      <c r="E638" s="2427"/>
      <c r="F638" s="2427"/>
      <c r="G638" s="2427"/>
      <c r="H638" s="2427"/>
      <c r="I638" s="2427"/>
      <c r="J638" s="2427"/>
      <c r="K638" s="2427"/>
      <c r="L638" s="2427"/>
      <c r="M638" s="2427"/>
      <c r="N638" s="2427"/>
      <c r="O638" s="2427"/>
      <c r="P638" s="2427"/>
      <c r="Q638" s="2427"/>
      <c r="R638" s="2427"/>
      <c r="S638" s="2427"/>
      <c r="T638" s="2427"/>
      <c r="U638" s="2427"/>
      <c r="V638" s="2427"/>
      <c r="W638" s="2427"/>
      <c r="X638" s="2427"/>
      <c r="Y638" s="2427"/>
      <c r="Z638" s="2427"/>
      <c r="AA638" s="2427"/>
      <c r="AB638" s="2427"/>
      <c r="AC638" s="2427"/>
      <c r="AD638" s="2427"/>
      <c r="AE638" s="2427"/>
      <c r="AF638" s="2427"/>
      <c r="AG638" s="2427"/>
      <c r="AH638" s="2427"/>
      <c r="AI638" s="245"/>
      <c r="AJ638" s="46"/>
      <c r="AK638" s="153"/>
      <c r="AL638" s="153"/>
      <c r="AM638" s="153"/>
      <c r="AN638" s="124"/>
    </row>
    <row r="639" spans="1:46" ht="13.65" customHeight="1">
      <c r="A639" s="263"/>
      <c r="B639" s="2427"/>
      <c r="C639" s="2427"/>
      <c r="D639" s="2427"/>
      <c r="E639" s="2427"/>
      <c r="F639" s="2427"/>
      <c r="G639" s="2427"/>
      <c r="H639" s="2427"/>
      <c r="I639" s="2427"/>
      <c r="J639" s="2427"/>
      <c r="K639" s="2427"/>
      <c r="L639" s="2427"/>
      <c r="M639" s="2427"/>
      <c r="N639" s="2427"/>
      <c r="O639" s="2427"/>
      <c r="P639" s="2427"/>
      <c r="Q639" s="2427"/>
      <c r="R639" s="2427"/>
      <c r="S639" s="2427"/>
      <c r="T639" s="2427"/>
      <c r="U639" s="2427"/>
      <c r="V639" s="2427"/>
      <c r="W639" s="2427"/>
      <c r="X639" s="2427"/>
      <c r="Y639" s="2427"/>
      <c r="Z639" s="2427"/>
      <c r="AA639" s="2427"/>
      <c r="AB639" s="2427"/>
      <c r="AC639" s="2427"/>
      <c r="AD639" s="2427"/>
      <c r="AE639" s="2427"/>
      <c r="AF639" s="2427"/>
      <c r="AG639" s="2427"/>
      <c r="AH639" s="2427"/>
      <c r="AI639" s="245"/>
      <c r="AJ639" s="46"/>
      <c r="AK639" s="153"/>
      <c r="AL639" s="153"/>
      <c r="AM639" s="153"/>
      <c r="AN639" s="124"/>
    </row>
    <row r="640" spans="1:46" ht="13.65" customHeight="1">
      <c r="A640" s="263"/>
      <c r="B640" s="2427"/>
      <c r="C640" s="2427"/>
      <c r="D640" s="2427"/>
      <c r="E640" s="2427"/>
      <c r="F640" s="2427"/>
      <c r="G640" s="2427"/>
      <c r="H640" s="2427"/>
      <c r="I640" s="2427"/>
      <c r="J640" s="2427"/>
      <c r="K640" s="2427"/>
      <c r="L640" s="2427"/>
      <c r="M640" s="2427"/>
      <c r="N640" s="2427"/>
      <c r="O640" s="2427"/>
      <c r="P640" s="2427"/>
      <c r="Q640" s="2427"/>
      <c r="R640" s="2427"/>
      <c r="S640" s="2427"/>
      <c r="T640" s="2427"/>
      <c r="U640" s="2427"/>
      <c r="V640" s="2427"/>
      <c r="W640" s="2427"/>
      <c r="X640" s="2427"/>
      <c r="Y640" s="2427"/>
      <c r="Z640" s="2427"/>
      <c r="AA640" s="2427"/>
      <c r="AB640" s="2427"/>
      <c r="AC640" s="2427"/>
      <c r="AD640" s="2427"/>
      <c r="AE640" s="2427"/>
      <c r="AF640" s="2427"/>
      <c r="AG640" s="2427"/>
      <c r="AH640" s="2427"/>
      <c r="AI640" s="245"/>
      <c r="AJ640" s="46"/>
      <c r="AK640" s="153"/>
      <c r="AL640" s="153"/>
      <c r="AM640" s="153"/>
      <c r="AN640" s="124"/>
    </row>
    <row r="641" spans="1:60">
      <c r="A641" s="263"/>
      <c r="B641" s="2427"/>
      <c r="C641" s="2427"/>
      <c r="D641" s="2427"/>
      <c r="E641" s="2427"/>
      <c r="F641" s="2427"/>
      <c r="G641" s="2427"/>
      <c r="H641" s="2427"/>
      <c r="I641" s="2427"/>
      <c r="J641" s="2427"/>
      <c r="K641" s="2427"/>
      <c r="L641" s="2427"/>
      <c r="M641" s="2427"/>
      <c r="N641" s="2427"/>
      <c r="O641" s="2427"/>
      <c r="P641" s="2427"/>
      <c r="Q641" s="2427"/>
      <c r="R641" s="2427"/>
      <c r="S641" s="2427"/>
      <c r="T641" s="2427"/>
      <c r="U641" s="2427"/>
      <c r="V641" s="2427"/>
      <c r="W641" s="2427"/>
      <c r="X641" s="2427"/>
      <c r="Y641" s="2427"/>
      <c r="Z641" s="2427"/>
      <c r="AA641" s="2427"/>
      <c r="AB641" s="2427"/>
      <c r="AC641" s="2427"/>
      <c r="AD641" s="2427"/>
      <c r="AE641" s="2427"/>
      <c r="AF641" s="2427"/>
      <c r="AG641" s="2427"/>
      <c r="AH641" s="2427"/>
      <c r="AI641" s="245"/>
      <c r="AJ641" s="46"/>
      <c r="AK641" s="153"/>
      <c r="AL641" s="153"/>
      <c r="AM641" s="153"/>
      <c r="AN641" s="124"/>
    </row>
    <row r="642" spans="1:60">
      <c r="A642" s="263"/>
      <c r="B642" s="2427"/>
      <c r="C642" s="2427"/>
      <c r="D642" s="2427"/>
      <c r="E642" s="2427"/>
      <c r="F642" s="2427"/>
      <c r="G642" s="2427"/>
      <c r="H642" s="2427"/>
      <c r="I642" s="2427"/>
      <c r="J642" s="2427"/>
      <c r="K642" s="2427"/>
      <c r="L642" s="2427"/>
      <c r="M642" s="2427"/>
      <c r="N642" s="2427"/>
      <c r="O642" s="2427"/>
      <c r="P642" s="2427"/>
      <c r="Q642" s="2427"/>
      <c r="R642" s="2427"/>
      <c r="S642" s="2427"/>
      <c r="T642" s="2427"/>
      <c r="U642" s="2427"/>
      <c r="V642" s="2427"/>
      <c r="W642" s="2427"/>
      <c r="X642" s="2427"/>
      <c r="Y642" s="2427"/>
      <c r="Z642" s="2427"/>
      <c r="AA642" s="2427"/>
      <c r="AB642" s="2427"/>
      <c r="AC642" s="2427"/>
      <c r="AD642" s="2427"/>
      <c r="AE642" s="2427"/>
      <c r="AF642" s="2427"/>
      <c r="AG642" s="2427"/>
      <c r="AH642" s="2427"/>
      <c r="AI642" s="245"/>
      <c r="AJ642" s="46"/>
      <c r="AK642" s="153"/>
      <c r="AL642" s="153"/>
      <c r="AM642" s="153"/>
      <c r="AN642" s="124"/>
    </row>
    <row r="643" spans="1:60">
      <c r="A643" s="263"/>
      <c r="B643" s="2427"/>
      <c r="C643" s="2427"/>
      <c r="D643" s="2427"/>
      <c r="E643" s="2427"/>
      <c r="F643" s="2427"/>
      <c r="G643" s="2427"/>
      <c r="H643" s="2427"/>
      <c r="I643" s="2427"/>
      <c r="J643" s="2427"/>
      <c r="K643" s="2427"/>
      <c r="L643" s="2427"/>
      <c r="M643" s="2427"/>
      <c r="N643" s="2427"/>
      <c r="O643" s="2427"/>
      <c r="P643" s="2427"/>
      <c r="Q643" s="2427"/>
      <c r="R643" s="2427"/>
      <c r="S643" s="2427"/>
      <c r="T643" s="2427"/>
      <c r="U643" s="2427"/>
      <c r="V643" s="2427"/>
      <c r="W643" s="2427"/>
      <c r="X643" s="2427"/>
      <c r="Y643" s="2427"/>
      <c r="Z643" s="2427"/>
      <c r="AA643" s="2427"/>
      <c r="AB643" s="2427"/>
      <c r="AC643" s="2427"/>
      <c r="AD643" s="2427"/>
      <c r="AE643" s="2427"/>
      <c r="AF643" s="2427"/>
      <c r="AG643" s="2427"/>
      <c r="AH643" s="2427"/>
      <c r="AI643" s="266"/>
      <c r="AJ643" s="46"/>
      <c r="AK643" s="153"/>
      <c r="AL643" s="153"/>
      <c r="AM643" s="153"/>
      <c r="AN643" s="124"/>
    </row>
    <row r="644" spans="1:60" s="1038" customFormat="1" ht="12.6" customHeight="1">
      <c r="A644" s="144"/>
      <c r="B644" s="979"/>
      <c r="C644" s="979"/>
      <c r="D644" s="979"/>
      <c r="E644" s="979"/>
      <c r="F644" s="979"/>
      <c r="G644" s="979"/>
      <c r="H644" s="979"/>
      <c r="I644" s="979"/>
      <c r="J644" s="979"/>
      <c r="K644" s="979"/>
      <c r="L644" s="979"/>
      <c r="M644" s="979"/>
      <c r="N644" s="979"/>
      <c r="O644" s="979"/>
      <c r="P644" s="979"/>
      <c r="Q644" s="979"/>
      <c r="R644" s="979"/>
      <c r="S644" s="979"/>
      <c r="T644" s="979"/>
      <c r="U644" s="979"/>
      <c r="V644" s="979"/>
      <c r="W644" s="979"/>
      <c r="X644" s="979"/>
      <c r="Y644" s="979"/>
      <c r="Z644" s="979"/>
      <c r="AA644" s="979"/>
      <c r="AB644" s="979"/>
      <c r="AC644" s="979"/>
      <c r="AD644" s="979"/>
      <c r="AE644" s="979"/>
      <c r="AF644" s="979"/>
      <c r="AG644" s="979"/>
      <c r="AH644" s="979"/>
      <c r="AI644" s="163"/>
      <c r="AJ644" s="37"/>
      <c r="AK644" s="144"/>
      <c r="AL644" s="144"/>
      <c r="AM644" s="144"/>
      <c r="AN644" s="1152"/>
      <c r="BD644" s="1040"/>
      <c r="BE644" s="1040"/>
      <c r="BF644" s="1040"/>
      <c r="BG644" s="1040"/>
      <c r="BH644" s="1040"/>
    </row>
    <row r="645" spans="1:60">
      <c r="A645" s="191"/>
      <c r="B645" s="167"/>
      <c r="C645" s="157"/>
      <c r="D645" s="157"/>
      <c r="E645" s="167"/>
      <c r="F645" s="157"/>
      <c r="G645" s="157"/>
      <c r="H645" s="157"/>
      <c r="I645" s="157"/>
      <c r="J645" s="157"/>
      <c r="K645" s="157"/>
      <c r="L645" s="157"/>
      <c r="M645" s="157"/>
      <c r="N645" s="157"/>
      <c r="O645" s="157"/>
      <c r="P645" s="157"/>
      <c r="Q645" s="157"/>
      <c r="R645" s="157"/>
      <c r="S645" s="157"/>
      <c r="T645" s="157"/>
      <c r="U645" s="157"/>
      <c r="V645" s="157"/>
      <c r="W645" s="157"/>
      <c r="X645" s="157"/>
      <c r="Y645" s="157"/>
      <c r="Z645" s="157"/>
      <c r="AA645" s="157"/>
      <c r="AB645" s="157"/>
      <c r="AC645" s="157"/>
      <c r="AD645" s="157"/>
      <c r="AE645" s="157"/>
      <c r="AF645" s="157"/>
      <c r="AG645" s="157"/>
      <c r="AH645" s="157"/>
      <c r="AI645" s="139"/>
      <c r="AJ645" s="1299" t="s">
        <v>198</v>
      </c>
      <c r="AK645" s="2373">
        <f>$AO$628</f>
        <v>10</v>
      </c>
      <c r="AL645" s="2456"/>
      <c r="AM645" s="2374"/>
      <c r="AN645" s="124"/>
      <c r="AO645" s="65"/>
      <c r="AQ645" s="30"/>
      <c r="AR645" s="30"/>
    </row>
    <row r="646" spans="1:60" ht="13.8" thickBot="1">
      <c r="A646" s="182"/>
      <c r="B646" s="182"/>
      <c r="C646" s="182"/>
      <c r="D646" s="182"/>
      <c r="E646" s="171"/>
      <c r="F646" s="171"/>
      <c r="G646" s="171"/>
      <c r="H646" s="171"/>
      <c r="I646" s="171"/>
      <c r="J646" s="171"/>
      <c r="K646" s="171"/>
      <c r="L646" s="171"/>
      <c r="M646" s="171"/>
      <c r="N646" s="171"/>
      <c r="O646" s="171"/>
      <c r="P646" s="171"/>
      <c r="Q646" s="171"/>
      <c r="R646" s="171"/>
      <c r="S646" s="171"/>
      <c r="T646" s="171"/>
      <c r="U646" s="171"/>
      <c r="V646" s="171"/>
      <c r="W646" s="171"/>
      <c r="X646" s="171"/>
      <c r="Y646" s="171"/>
      <c r="Z646" s="171"/>
      <c r="AA646" s="171"/>
      <c r="AB646" s="171"/>
      <c r="AC646" s="171"/>
      <c r="AD646" s="171"/>
      <c r="AE646" s="171"/>
      <c r="AF646" s="171"/>
      <c r="AG646" s="171"/>
      <c r="AH646" s="171"/>
      <c r="AI646" s="171"/>
      <c r="AJ646" s="171"/>
      <c r="AK646" s="171"/>
      <c r="AL646" s="171"/>
      <c r="AM646" s="171"/>
      <c r="AN646" s="124"/>
      <c r="AQ646" s="30"/>
      <c r="AR646" s="30"/>
    </row>
    <row r="647" spans="1:60" ht="13.8" thickTop="1">
      <c r="AN647" s="124"/>
      <c r="AO647" s="46"/>
    </row>
    <row r="648" spans="1:60">
      <c r="A648" s="207" t="s">
        <v>2237</v>
      </c>
      <c r="B648" s="294"/>
      <c r="C648" s="295"/>
      <c r="D648" s="295"/>
      <c r="E648" s="295"/>
      <c r="F648" s="295"/>
      <c r="G648" s="295"/>
      <c r="H648" s="295"/>
      <c r="I648" s="174"/>
      <c r="J648" s="174"/>
      <c r="K648" s="174"/>
      <c r="L648" s="174"/>
      <c r="M648" s="174"/>
      <c r="N648" s="174"/>
      <c r="O648" s="174"/>
      <c r="P648" s="174"/>
      <c r="Q648" s="174"/>
      <c r="S648" s="63"/>
      <c r="T648" s="63"/>
      <c r="U648" s="63"/>
      <c r="V648" s="63"/>
      <c r="W648" s="63"/>
      <c r="X648" s="63"/>
      <c r="Y648" s="63"/>
      <c r="Z648" s="63"/>
      <c r="AA648" s="63"/>
      <c r="AB648" s="63"/>
      <c r="AC648" s="63"/>
      <c r="AD648" s="63"/>
      <c r="AE648" s="46"/>
      <c r="AF648" s="46"/>
      <c r="AG648" s="63"/>
      <c r="AH648" s="26" t="s">
        <v>397</v>
      </c>
      <c r="AI648" s="63"/>
      <c r="AJ648" s="63"/>
      <c r="AK648" s="46"/>
      <c r="AL648" s="46"/>
      <c r="AM648" s="46"/>
      <c r="AN648" s="124"/>
      <c r="AO648" s="65"/>
    </row>
    <row r="649" spans="1:60">
      <c r="B649" s="46"/>
      <c r="C649" s="207"/>
      <c r="D649" s="46"/>
      <c r="E649" s="46"/>
      <c r="F649" s="46"/>
      <c r="G649" s="46"/>
      <c r="H649" s="46"/>
      <c r="I649" s="46"/>
      <c r="J649" s="46"/>
      <c r="K649" s="46"/>
      <c r="L649" s="46"/>
      <c r="M649" s="46"/>
      <c r="N649" s="46"/>
      <c r="O649" s="46"/>
      <c r="P649" s="46"/>
      <c r="Q649" s="46"/>
      <c r="R649" s="46"/>
      <c r="S649" s="46"/>
      <c r="T649" s="46"/>
      <c r="U649" s="46"/>
      <c r="V649" s="46"/>
      <c r="W649" s="46"/>
      <c r="X649" s="46"/>
      <c r="Y649" s="46"/>
      <c r="Z649" s="46"/>
      <c r="AA649" s="46"/>
      <c r="AB649" s="46"/>
      <c r="AC649" s="46"/>
      <c r="AD649" s="46"/>
      <c r="AG649" s="46"/>
      <c r="AI649" s="46"/>
      <c r="AJ649" s="46"/>
      <c r="AK649" s="153"/>
      <c r="AL649" s="153"/>
      <c r="AM649" s="153"/>
      <c r="AN649" s="124"/>
      <c r="AO649" s="65"/>
      <c r="AP649" s="1"/>
      <c r="AQ649" s="1035"/>
      <c r="AR649" s="1"/>
      <c r="AS649" s="1"/>
      <c r="AT649" s="1"/>
      <c r="AU649" s="1"/>
      <c r="AV649" s="1036"/>
      <c r="AW649" s="1036"/>
      <c r="AX649" s="125"/>
      <c r="AY649" s="125"/>
      <c r="AZ649" s="125"/>
      <c r="BA649" s="125"/>
    </row>
    <row r="650" spans="1:60">
      <c r="C650" s="1786" t="s">
        <v>119</v>
      </c>
      <c r="D650" s="1786"/>
      <c r="E650" s="293" t="s">
        <v>641</v>
      </c>
      <c r="F650" s="27" t="s">
        <v>2007</v>
      </c>
      <c r="G650" s="46"/>
      <c r="H650" s="46"/>
      <c r="I650" s="46"/>
      <c r="J650" s="46"/>
      <c r="K650" s="46"/>
      <c r="L650" s="46"/>
      <c r="M650" s="46"/>
      <c r="N650" s="46"/>
      <c r="O650" s="46"/>
      <c r="P650" s="46"/>
      <c r="Q650" s="46"/>
      <c r="R650" s="46"/>
      <c r="S650" s="46"/>
      <c r="T650" s="46"/>
      <c r="U650" s="46"/>
      <c r="V650" s="46"/>
      <c r="W650" s="46"/>
      <c r="X650" s="46"/>
      <c r="Y650" s="46"/>
      <c r="Z650" s="46"/>
      <c r="AA650" s="46"/>
      <c r="AB650" s="46"/>
      <c r="AC650" s="46"/>
      <c r="AD650" s="46"/>
      <c r="AE650" s="46"/>
      <c r="AF650" s="46"/>
      <c r="AG650" s="48" t="s">
        <v>114</v>
      </c>
      <c r="AH650" s="46"/>
      <c r="AI650" s="46"/>
      <c r="AJ650" s="46"/>
      <c r="AK650" s="153"/>
      <c r="AL650" s="153"/>
      <c r="AM650" s="153"/>
      <c r="AN650" s="124"/>
      <c r="AO650" s="46">
        <f>IF($C$650="yes",2,0)</f>
        <v>2</v>
      </c>
      <c r="AQ650" s="1035"/>
      <c r="AR650" s="1"/>
      <c r="AS650" s="1"/>
      <c r="AT650" s="1"/>
      <c r="AU650" s="1"/>
      <c r="AV650" s="1036"/>
      <c r="AW650" s="1036"/>
      <c r="AX650" s="125"/>
      <c r="AY650" s="125"/>
      <c r="AZ650" s="125"/>
      <c r="BA650" s="125"/>
    </row>
    <row r="651" spans="1:60">
      <c r="A651" s="207"/>
      <c r="B651" s="203"/>
      <c r="F651" s="27" t="s">
        <v>2008</v>
      </c>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H651" s="27"/>
      <c r="AI651" s="27"/>
      <c r="AJ651" s="46"/>
      <c r="AK651" s="153"/>
      <c r="AL651" s="153"/>
      <c r="AM651" s="153"/>
      <c r="AN651" s="124"/>
      <c r="AO651" s="46">
        <f>IF($C$655="yes",2,0)</f>
        <v>0</v>
      </c>
      <c r="AQ651" s="1"/>
      <c r="AR651" s="1"/>
      <c r="AS651" s="1"/>
      <c r="AT651" s="1"/>
      <c r="AU651" s="1"/>
      <c r="AV651" s="1036"/>
      <c r="AW651" s="1036"/>
      <c r="AX651" s="125"/>
      <c r="AY651" s="125"/>
      <c r="AZ651" s="125"/>
      <c r="BA651" s="125"/>
    </row>
    <row r="652" spans="1:60">
      <c r="A652" s="28"/>
      <c r="B652" s="27"/>
      <c r="C652" s="46"/>
      <c r="D652" s="27"/>
      <c r="E652" s="46"/>
      <c r="F652" s="27" t="s">
        <v>2009</v>
      </c>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46"/>
      <c r="AK652" s="153"/>
      <c r="AL652" s="153"/>
      <c r="AM652" s="153"/>
      <c r="AN652" s="124"/>
      <c r="AO652" s="46">
        <f>IF($C$659="yes",2,0)</f>
        <v>0</v>
      </c>
      <c r="AQ652" s="1"/>
      <c r="AR652" s="1"/>
      <c r="AS652" s="1"/>
      <c r="AT652" s="1"/>
      <c r="AU652" s="1"/>
      <c r="AV652" s="1036"/>
      <c r="AW652" s="1036"/>
      <c r="AX652" s="125"/>
      <c r="AY652" s="125"/>
      <c r="AZ652" s="125"/>
      <c r="BA652" s="125"/>
    </row>
    <row r="653" spans="1:60">
      <c r="A653" s="28"/>
      <c r="B653" s="27"/>
      <c r="C653" s="27"/>
      <c r="D653" s="27"/>
      <c r="E653" s="27"/>
      <c r="F653" s="27" t="s">
        <v>2010</v>
      </c>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46"/>
      <c r="AK653" s="153"/>
      <c r="AL653" s="153"/>
      <c r="AM653" s="153"/>
      <c r="AN653" s="124"/>
      <c r="AO653" s="46">
        <f>IF($C$663="yes",1,0)</f>
        <v>0</v>
      </c>
      <c r="AP653" s="30"/>
      <c r="AQ653" s="1"/>
      <c r="AR653" s="1"/>
      <c r="AS653" s="1"/>
      <c r="AT653" s="1"/>
      <c r="AU653" s="1"/>
      <c r="AV653" s="1036"/>
      <c r="AW653" s="1036"/>
      <c r="AX653" s="125"/>
      <c r="AY653" s="125"/>
      <c r="AZ653" s="125"/>
      <c r="BA653" s="125"/>
    </row>
    <row r="654" spans="1:60">
      <c r="A654" s="28"/>
      <c r="B654" s="27"/>
      <c r="C654" s="27"/>
      <c r="D654" s="27"/>
      <c r="E654" s="27"/>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46"/>
      <c r="AK654" s="153"/>
      <c r="AL654" s="153"/>
      <c r="AM654" s="153"/>
      <c r="AN654" s="124"/>
      <c r="AO654" s="46">
        <f>IF($C$665="yes",2,0)</f>
        <v>0</v>
      </c>
      <c r="AQ654"/>
      <c r="AR654"/>
      <c r="AS654"/>
      <c r="AT654"/>
      <c r="AU654"/>
      <c r="AV654" s="68"/>
      <c r="AW654" s="68"/>
    </row>
    <row r="655" spans="1:60">
      <c r="A655" s="28"/>
      <c r="B655" s="27"/>
      <c r="C655" s="1786" t="s">
        <v>136</v>
      </c>
      <c r="D655" s="1786"/>
      <c r="E655" s="293" t="s">
        <v>214</v>
      </c>
      <c r="F655" s="27" t="s">
        <v>1286</v>
      </c>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48" t="s">
        <v>114</v>
      </c>
      <c r="AH655" s="27"/>
      <c r="AI655" s="27"/>
      <c r="AJ655" s="46"/>
      <c r="AK655" s="153"/>
      <c r="AL655" s="153"/>
      <c r="AM655" s="153"/>
      <c r="AN655" s="1153"/>
      <c r="AO655" s="46">
        <f>IF($C$670="yes",1,0)</f>
        <v>0</v>
      </c>
    </row>
    <row r="656" spans="1:60">
      <c r="A656" s="28"/>
      <c r="B656" s="27"/>
      <c r="C656" s="46"/>
      <c r="D656" s="27"/>
      <c r="E656" s="46"/>
      <c r="F656" s="27" t="s">
        <v>1288</v>
      </c>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46"/>
      <c r="AK656" s="153"/>
      <c r="AL656" s="153"/>
      <c r="AM656" s="153"/>
      <c r="AN656" s="439"/>
      <c r="AO656" s="37">
        <f>SUM(AO650:AO655)</f>
        <v>2</v>
      </c>
      <c r="AP656" s="1039" t="s">
        <v>356</v>
      </c>
    </row>
    <row r="657" spans="1:41">
      <c r="A657" s="28"/>
      <c r="B657" s="27"/>
      <c r="C657" s="46"/>
      <c r="D657" s="27"/>
      <c r="E657" s="46"/>
      <c r="F657" s="27" t="s">
        <v>1287</v>
      </c>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46"/>
      <c r="AK657" s="153"/>
      <c r="AL657" s="153"/>
      <c r="AM657" s="153"/>
    </row>
    <row r="658" spans="1:41">
      <c r="A658" s="28"/>
      <c r="B658" s="27"/>
      <c r="C658" s="27"/>
      <c r="D658" s="27"/>
      <c r="E658" s="27"/>
      <c r="F658" s="27"/>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46"/>
      <c r="AK658" s="153"/>
      <c r="AL658" s="153"/>
      <c r="AM658" s="153"/>
      <c r="AN658" s="124"/>
      <c r="AO658" s="65"/>
    </row>
    <row r="659" spans="1:41">
      <c r="A659" s="28"/>
      <c r="B659" s="27"/>
      <c r="C659" s="1786" t="s">
        <v>136</v>
      </c>
      <c r="D659" s="1786"/>
      <c r="E659" s="293" t="s">
        <v>992</v>
      </c>
      <c r="F659" s="812" t="s">
        <v>1404</v>
      </c>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48" t="s">
        <v>114</v>
      </c>
      <c r="AH659" s="27"/>
      <c r="AI659" s="27"/>
      <c r="AJ659" s="46"/>
      <c r="AK659" s="153"/>
      <c r="AL659" s="153"/>
      <c r="AM659" s="153"/>
      <c r="AN659" s="124"/>
      <c r="AO659" s="65"/>
    </row>
    <row r="660" spans="1:41">
      <c r="A660" s="28"/>
      <c r="B660" s="27"/>
      <c r="C660" s="46"/>
      <c r="D660" s="27"/>
      <c r="E660" s="46"/>
      <c r="F660" s="27" t="s">
        <v>1418</v>
      </c>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46"/>
      <c r="AK660" s="153"/>
      <c r="AL660" s="153"/>
      <c r="AM660" s="153"/>
      <c r="AN660" s="124"/>
      <c r="AO660" s="65"/>
    </row>
    <row r="661" spans="1:41">
      <c r="A661" s="28"/>
      <c r="B661" s="27"/>
      <c r="C661" s="46"/>
      <c r="D661" s="27"/>
      <c r="E661" s="46"/>
      <c r="F661" s="27" t="s">
        <v>1419</v>
      </c>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46"/>
      <c r="AK661" s="153"/>
      <c r="AL661" s="153"/>
      <c r="AM661" s="153"/>
      <c r="AN661" s="124"/>
      <c r="AO661" s="65"/>
    </row>
    <row r="662" spans="1:41">
      <c r="A662" s="28"/>
      <c r="B662" s="27"/>
      <c r="C662" s="27"/>
      <c r="D662" s="27"/>
      <c r="E662" s="27"/>
      <c r="F662" s="27"/>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46"/>
      <c r="AK662" s="153"/>
      <c r="AL662" s="153"/>
      <c r="AM662" s="153"/>
      <c r="AN662" s="124"/>
      <c r="AO662" s="65"/>
    </row>
    <row r="663" spans="1:41">
      <c r="A663" s="28"/>
      <c r="B663" s="27"/>
      <c r="C663" s="1786" t="s">
        <v>136</v>
      </c>
      <c r="D663" s="1786"/>
      <c r="E663" s="293" t="s">
        <v>798</v>
      </c>
      <c r="F663" s="27" t="s">
        <v>1088</v>
      </c>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48" t="s">
        <v>354</v>
      </c>
      <c r="AH663" s="27"/>
      <c r="AI663" s="27"/>
      <c r="AJ663" s="46"/>
      <c r="AK663" s="153"/>
      <c r="AL663" s="153"/>
      <c r="AM663" s="153"/>
      <c r="AN663" s="124"/>
      <c r="AO663" s="65"/>
    </row>
    <row r="664" spans="1:41">
      <c r="A664" s="28"/>
      <c r="B664" s="27"/>
      <c r="C664" s="27"/>
      <c r="D664" s="27"/>
      <c r="E664" s="27"/>
      <c r="F664" s="27"/>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46"/>
      <c r="AK664" s="153"/>
      <c r="AL664" s="153"/>
      <c r="AM664" s="153"/>
      <c r="AN664" s="124"/>
      <c r="AO664" s="65"/>
    </row>
    <row r="665" spans="1:41">
      <c r="A665" s="28"/>
      <c r="B665" s="27"/>
      <c r="C665" s="1786" t="s">
        <v>136</v>
      </c>
      <c r="D665" s="1786"/>
      <c r="E665" s="293" t="s">
        <v>799</v>
      </c>
      <c r="F665" s="27" t="s">
        <v>1405</v>
      </c>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48" t="s">
        <v>114</v>
      </c>
      <c r="AH665" s="27"/>
      <c r="AI665" s="27"/>
      <c r="AJ665" s="46"/>
      <c r="AK665" s="153"/>
      <c r="AL665" s="153"/>
      <c r="AM665" s="153"/>
    </row>
    <row r="666" spans="1:41">
      <c r="A666" s="28"/>
      <c r="B666" s="27"/>
      <c r="C666" s="46"/>
      <c r="D666" s="27"/>
      <c r="E666" s="46"/>
      <c r="F666" s="813" t="s">
        <v>1406</v>
      </c>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46"/>
      <c r="AK666" s="153"/>
      <c r="AL666" s="153"/>
      <c r="AM666" s="153"/>
    </row>
    <row r="667" spans="1:41">
      <c r="A667" s="28"/>
      <c r="B667" s="27"/>
      <c r="C667" s="46"/>
      <c r="D667" s="27"/>
      <c r="E667" s="46"/>
      <c r="F667" s="813" t="s">
        <v>1408</v>
      </c>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46"/>
      <c r="AK667" s="153"/>
      <c r="AL667" s="153"/>
      <c r="AM667" s="153"/>
    </row>
    <row r="668" spans="1:41">
      <c r="A668" s="28"/>
      <c r="B668" s="27"/>
      <c r="C668" s="27"/>
      <c r="D668" s="27"/>
      <c r="E668" s="27"/>
      <c r="F668" s="27" t="s">
        <v>1407</v>
      </c>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46"/>
      <c r="AK668" s="153"/>
      <c r="AL668" s="153"/>
      <c r="AM668" s="153"/>
      <c r="AN668" s="439"/>
      <c r="AO668" s="65"/>
    </row>
    <row r="669" spans="1:41">
      <c r="A669" s="28"/>
      <c r="B669" s="27"/>
      <c r="C669" s="27"/>
      <c r="D669" s="27"/>
      <c r="E669" s="27"/>
      <c r="F669" s="27"/>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46"/>
      <c r="AK669" s="153"/>
      <c r="AL669" s="153"/>
      <c r="AM669" s="153"/>
      <c r="AN669" s="439"/>
      <c r="AO669" s="65"/>
    </row>
    <row r="670" spans="1:41" ht="14.25" customHeight="1">
      <c r="A670" s="28"/>
      <c r="B670" s="27"/>
      <c r="C670" s="1786" t="s">
        <v>136</v>
      </c>
      <c r="D670" s="1786"/>
      <c r="E670" s="293" t="s">
        <v>308</v>
      </c>
      <c r="F670" s="27" t="s">
        <v>1252</v>
      </c>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48" t="s">
        <v>354</v>
      </c>
      <c r="AH670" s="27"/>
      <c r="AI670" s="27"/>
      <c r="AJ670" s="46"/>
      <c r="AK670" s="153"/>
      <c r="AL670" s="153"/>
      <c r="AM670" s="153"/>
      <c r="AO670" s="65"/>
    </row>
    <row r="671" spans="1:41">
      <c r="A671" s="28"/>
      <c r="B671" s="27"/>
      <c r="C671" s="27"/>
      <c r="D671" s="27"/>
      <c r="E671" s="27"/>
      <c r="F671" s="27" t="s">
        <v>1253</v>
      </c>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46"/>
      <c r="AK671" s="153"/>
      <c r="AL671" s="153"/>
      <c r="AM671" s="153"/>
      <c r="AN671" s="124"/>
      <c r="AO671" s="65"/>
    </row>
    <row r="672" spans="1:41">
      <c r="A672" s="46"/>
      <c r="B672" s="27"/>
      <c r="C672" s="27"/>
      <c r="D672" s="27"/>
      <c r="E672" s="46"/>
      <c r="F672" s="46"/>
      <c r="G672" s="46"/>
      <c r="H672" s="46"/>
      <c r="I672" s="46"/>
      <c r="J672" s="46"/>
      <c r="K672" s="46"/>
      <c r="L672" s="46"/>
      <c r="M672" s="46"/>
      <c r="N672" s="46"/>
      <c r="O672" s="46"/>
      <c r="P672" s="46"/>
      <c r="Q672" s="46"/>
      <c r="R672" s="46"/>
      <c r="S672" s="46"/>
      <c r="T672" s="46"/>
      <c r="U672" s="46"/>
      <c r="V672" s="46"/>
      <c r="W672" s="46"/>
      <c r="X672" s="46"/>
      <c r="Y672" s="46"/>
      <c r="Z672" s="46"/>
      <c r="AA672" s="46"/>
      <c r="AB672" s="46"/>
      <c r="AC672" s="46"/>
      <c r="AD672" s="46"/>
      <c r="AE672" s="46"/>
      <c r="AF672" s="46"/>
      <c r="AG672" s="46"/>
      <c r="AH672" s="46"/>
      <c r="AI672" s="46"/>
      <c r="AJ672" s="46"/>
      <c r="AK672" s="153"/>
      <c r="AL672" s="153"/>
      <c r="AM672" s="153"/>
      <c r="AN672" s="124"/>
      <c r="AO672" s="65"/>
    </row>
    <row r="673" spans="1:43">
      <c r="A673" s="267"/>
      <c r="B673" s="268"/>
      <c r="C673" s="157"/>
      <c r="D673" s="201"/>
      <c r="E673" s="157"/>
      <c r="F673" s="157"/>
      <c r="G673" s="157"/>
      <c r="H673" s="157"/>
      <c r="I673" s="157"/>
      <c r="J673" s="157"/>
      <c r="K673" s="157"/>
      <c r="L673" s="157"/>
      <c r="M673" s="157"/>
      <c r="N673" s="157"/>
      <c r="O673" s="157"/>
      <c r="P673" s="157"/>
      <c r="Q673" s="157"/>
      <c r="R673" s="157"/>
      <c r="S673" s="157"/>
      <c r="T673" s="157"/>
      <c r="U673" s="157"/>
      <c r="V673" s="157"/>
      <c r="W673" s="157"/>
      <c r="X673" s="157"/>
      <c r="Y673" s="157"/>
      <c r="Z673" s="157"/>
      <c r="AA673" s="157"/>
      <c r="AB673" s="157"/>
      <c r="AC673" s="157"/>
      <c r="AD673" s="157"/>
      <c r="AE673" s="157"/>
      <c r="AF673" s="157"/>
      <c r="AG673" s="157"/>
      <c r="AH673" s="157"/>
      <c r="AI673" s="139"/>
      <c r="AJ673" s="1299" t="s">
        <v>1132</v>
      </c>
      <c r="AK673" s="2373">
        <f>$AO$656</f>
        <v>2</v>
      </c>
      <c r="AL673" s="2456"/>
      <c r="AM673" s="2374"/>
      <c r="AN673" s="124"/>
      <c r="AO673" s="65"/>
    </row>
    <row r="674" spans="1:43">
      <c r="A674" s="46"/>
      <c r="B674" s="189"/>
      <c r="C674" s="153"/>
      <c r="D674" s="27"/>
      <c r="E674" s="153"/>
      <c r="F674" s="153"/>
      <c r="G674" s="153"/>
      <c r="H674" s="153"/>
      <c r="I674" s="153"/>
      <c r="J674" s="153"/>
      <c r="K674" s="153"/>
      <c r="L674" s="153"/>
      <c r="M674" s="153"/>
      <c r="N674" s="153"/>
      <c r="O674" s="153"/>
      <c r="P674" s="153"/>
      <c r="Q674" s="153"/>
      <c r="R674" s="153"/>
      <c r="S674" s="153"/>
      <c r="T674" s="153"/>
      <c r="U674" s="153"/>
      <c r="V674" s="153"/>
      <c r="W674" s="153"/>
      <c r="X674" s="153"/>
      <c r="Y674" s="153"/>
      <c r="Z674" s="153"/>
      <c r="AA674" s="153"/>
      <c r="AB674" s="153"/>
      <c r="AC674" s="153"/>
      <c r="AD674" s="153"/>
      <c r="AE674" s="153"/>
      <c r="AF674" s="153"/>
      <c r="AG674" s="153"/>
      <c r="AH674" s="153"/>
      <c r="AI674" s="105"/>
      <c r="AJ674" s="25"/>
      <c r="AM674" s="137"/>
      <c r="AO674" s="65"/>
    </row>
    <row r="675" spans="1:43">
      <c r="A675" s="189"/>
      <c r="B675" s="46"/>
      <c r="C675" s="46"/>
      <c r="D675" s="46"/>
      <c r="E675" s="46"/>
      <c r="F675" s="46"/>
      <c r="G675" s="46"/>
      <c r="H675" s="46"/>
      <c r="I675" s="46"/>
      <c r="J675" s="46"/>
      <c r="K675" s="46"/>
      <c r="L675" s="46"/>
      <c r="M675" s="46"/>
      <c r="N675" s="46"/>
      <c r="O675" s="46"/>
      <c r="P675" s="46"/>
      <c r="Q675" s="46"/>
      <c r="R675" s="46"/>
      <c r="S675" s="46"/>
      <c r="T675" s="46"/>
      <c r="U675" s="46"/>
      <c r="V675" s="46"/>
      <c r="W675" s="46"/>
      <c r="X675" s="46"/>
      <c r="Y675" s="46"/>
      <c r="Z675" s="46"/>
      <c r="AA675" s="46"/>
      <c r="AB675" s="46"/>
      <c r="AC675" s="46"/>
      <c r="AD675" s="46"/>
      <c r="AE675" s="46"/>
      <c r="AF675" s="46"/>
      <c r="AG675" s="46"/>
      <c r="AH675" s="46"/>
      <c r="AI675" s="46"/>
      <c r="AJ675" s="46"/>
      <c r="AK675" s="153"/>
      <c r="AL675" s="153"/>
      <c r="AM675" s="153"/>
    </row>
    <row r="676" spans="1:43">
      <c r="A676" s="2467" t="s">
        <v>789</v>
      </c>
      <c r="B676" s="2467"/>
      <c r="C676" s="2467"/>
      <c r="D676" s="2467"/>
      <c r="E676" s="2467"/>
      <c r="F676" s="2467"/>
      <c r="G676" s="2467"/>
      <c r="H676" s="2467"/>
      <c r="I676" s="2467"/>
      <c r="J676" s="2467"/>
      <c r="K676" s="2467"/>
      <c r="L676" s="2467"/>
      <c r="M676" s="2467"/>
      <c r="N676" s="2467"/>
      <c r="O676" s="2467"/>
      <c r="P676" s="2467"/>
      <c r="Q676" s="2467"/>
      <c r="R676" s="2467"/>
      <c r="S676" s="2467"/>
      <c r="T676" s="2467"/>
      <c r="U676" s="2467"/>
      <c r="V676" s="2467"/>
      <c r="W676" s="2467"/>
      <c r="X676" s="2467"/>
      <c r="Y676" s="2467"/>
      <c r="Z676" s="2467"/>
      <c r="AA676" s="2467"/>
      <c r="AB676" s="2467"/>
      <c r="AC676" s="2467"/>
      <c r="AD676" s="2467"/>
      <c r="AE676" s="2467"/>
      <c r="AF676" s="2467"/>
      <c r="AG676" s="2467"/>
      <c r="AH676" s="2467"/>
      <c r="AI676" s="2467"/>
      <c r="AJ676" s="2467"/>
      <c r="AK676" s="2467"/>
      <c r="AL676" s="2467"/>
      <c r="AM676" s="2467"/>
    </row>
    <row r="677" spans="1:43">
      <c r="A677" s="2468"/>
      <c r="B677" s="2468"/>
      <c r="C677" s="2468"/>
      <c r="D677" s="2468"/>
      <c r="E677" s="2468"/>
      <c r="F677" s="2468"/>
      <c r="G677" s="2468"/>
      <c r="H677" s="2468"/>
      <c r="I677" s="2468"/>
      <c r="J677" s="2468"/>
      <c r="K677" s="2468"/>
      <c r="L677" s="2468"/>
      <c r="M677" s="2468"/>
      <c r="N677" s="2468"/>
      <c r="O677" s="2468"/>
      <c r="P677" s="2468"/>
      <c r="Q677" s="2468"/>
      <c r="R677" s="2468"/>
      <c r="S677" s="2468"/>
      <c r="T677" s="2468"/>
      <c r="U677" s="2468"/>
      <c r="V677" s="2468"/>
      <c r="W677" s="2468"/>
      <c r="X677" s="2468"/>
      <c r="Y677" s="2468"/>
      <c r="Z677" s="2468"/>
      <c r="AA677" s="2468"/>
      <c r="AB677" s="2468"/>
      <c r="AC677" s="2468"/>
      <c r="AD677" s="2468"/>
      <c r="AE677" s="2468"/>
      <c r="AF677" s="2468"/>
      <c r="AG677" s="2468"/>
      <c r="AH677" s="2468"/>
      <c r="AI677" s="2468"/>
      <c r="AJ677" s="2468"/>
      <c r="AK677" s="2468"/>
      <c r="AL677" s="2468"/>
      <c r="AM677" s="2468"/>
      <c r="AO677" s="751"/>
      <c r="AP677" s="751"/>
      <c r="AQ677" s="751"/>
    </row>
    <row r="678" spans="1:43">
      <c r="A678" s="162"/>
      <c r="B678" s="294"/>
      <c r="C678" s="295"/>
      <c r="D678" s="295"/>
      <c r="E678" s="295"/>
      <c r="F678" s="295"/>
      <c r="G678" s="295"/>
      <c r="H678" s="295"/>
      <c r="I678" s="174"/>
      <c r="J678" s="174"/>
      <c r="K678" s="174"/>
      <c r="L678" s="174"/>
      <c r="M678" s="174"/>
      <c r="N678" s="174"/>
      <c r="O678" s="174"/>
      <c r="P678" s="174"/>
      <c r="Q678" s="174"/>
      <c r="R678" s="125"/>
      <c r="S678" s="62"/>
      <c r="T678" s="62"/>
      <c r="U678" s="62"/>
      <c r="V678" s="62"/>
      <c r="W678" s="62"/>
      <c r="X678" s="62"/>
      <c r="Y678" s="62"/>
      <c r="Z678" s="62"/>
      <c r="AA678" s="62"/>
      <c r="AB678" s="62"/>
      <c r="AC678" s="62"/>
      <c r="AD678" s="62"/>
      <c r="AE678" s="62"/>
      <c r="AF678" s="125"/>
      <c r="AG678" s="62"/>
      <c r="AH678" s="62"/>
      <c r="AI678" s="62"/>
      <c r="AJ678" s="62"/>
      <c r="AK678" s="162"/>
      <c r="AL678" s="162"/>
      <c r="AM678" s="269"/>
      <c r="AO678" s="751"/>
      <c r="AP678" s="751"/>
      <c r="AQ678" s="751"/>
    </row>
    <row r="679" spans="1:43">
      <c r="A679" s="2306" t="s">
        <v>2231</v>
      </c>
      <c r="B679" s="2306"/>
      <c r="C679" s="2306"/>
      <c r="D679" s="2306"/>
      <c r="E679" s="2306"/>
      <c r="F679" s="2306"/>
      <c r="G679" s="2306"/>
      <c r="H679" s="2306"/>
      <c r="I679" s="2306"/>
      <c r="J679" s="2306"/>
      <c r="K679" s="2306"/>
      <c r="L679" s="2306"/>
      <c r="M679" s="2306"/>
      <c r="N679" s="2306"/>
      <c r="O679" s="2306"/>
      <c r="P679" s="2306"/>
      <c r="Q679" s="2306"/>
      <c r="R679" s="2306"/>
      <c r="S679" s="2306"/>
      <c r="T679" s="2306"/>
      <c r="U679" s="2306"/>
      <c r="V679" s="2306"/>
      <c r="W679" s="2306"/>
      <c r="X679" s="2306"/>
      <c r="Y679" s="2306"/>
      <c r="Z679" s="2306"/>
      <c r="AA679" s="2306"/>
      <c r="AB679" s="2306"/>
      <c r="AC679" s="2306"/>
      <c r="AD679" s="2306"/>
      <c r="AE679" s="2306"/>
      <c r="AF679" s="2306"/>
      <c r="AG679" s="2306"/>
      <c r="AH679" s="2306"/>
      <c r="AI679" s="2306"/>
      <c r="AJ679" s="2306"/>
      <c r="AK679" s="2306"/>
      <c r="AL679" s="2306"/>
      <c r="AM679" s="2306"/>
      <c r="AP679" s="755"/>
      <c r="AQ679" s="751"/>
    </row>
    <row r="680" spans="1:43">
      <c r="A680" s="2306" t="s">
        <v>2232</v>
      </c>
      <c r="B680" s="2306"/>
      <c r="C680" s="2306"/>
      <c r="D680" s="2306"/>
      <c r="E680" s="2306"/>
      <c r="F680" s="2306"/>
      <c r="G680" s="2306"/>
      <c r="H680" s="2306"/>
      <c r="I680" s="2306"/>
      <c r="J680" s="2306"/>
      <c r="K680" s="2306"/>
      <c r="L680" s="2306"/>
      <c r="M680" s="2306"/>
      <c r="N680" s="2306"/>
      <c r="O680" s="2306"/>
      <c r="P680" s="2306"/>
      <c r="Q680" s="2306"/>
      <c r="R680" s="2306"/>
      <c r="S680" s="2306"/>
      <c r="T680" s="2306"/>
      <c r="U680" s="2306"/>
      <c r="V680" s="2306"/>
      <c r="W680" s="2306"/>
      <c r="X680" s="2306"/>
      <c r="Y680" s="2306"/>
      <c r="Z680" s="2306"/>
      <c r="AA680" s="2306"/>
      <c r="AB680" s="2306"/>
      <c r="AC680" s="2306"/>
      <c r="AD680" s="2306"/>
      <c r="AE680" s="2306"/>
      <c r="AF680" s="2306"/>
      <c r="AG680" s="2306"/>
      <c r="AH680" s="2306"/>
      <c r="AI680" s="2306"/>
      <c r="AJ680" s="2306"/>
      <c r="AK680" s="2306"/>
      <c r="AL680" s="2306"/>
      <c r="AM680" s="2306"/>
      <c r="AO680" s="756">
        <f>SUM(AO681:AO682)</f>
        <v>25</v>
      </c>
      <c r="AQ680" s="751"/>
    </row>
    <row r="681" spans="1:43">
      <c r="A681" s="438"/>
      <c r="B681" s="342"/>
      <c r="C681" s="342"/>
      <c r="D681" s="342"/>
      <c r="E681" s="342"/>
      <c r="F681" s="342"/>
      <c r="G681" s="342"/>
      <c r="H681" s="342"/>
      <c r="I681" s="342"/>
      <c r="J681" s="342"/>
      <c r="K681" s="342"/>
      <c r="L681" s="342"/>
      <c r="M681" s="342"/>
      <c r="N681" s="342"/>
      <c r="O681" s="342"/>
      <c r="P681" s="342"/>
      <c r="Q681" s="342"/>
      <c r="R681" s="342"/>
      <c r="S681" s="1062"/>
      <c r="T681" s="2392" t="s">
        <v>261</v>
      </c>
      <c r="U681" s="2006"/>
      <c r="V681" s="2006"/>
      <c r="W681" s="2006"/>
      <c r="X681" s="2006"/>
      <c r="Y681" s="2007"/>
      <c r="Z681" s="2392" t="s">
        <v>260</v>
      </c>
      <c r="AA681" s="2006"/>
      <c r="AB681" s="2006"/>
      <c r="AC681" s="2006"/>
      <c r="AD681" s="2006"/>
      <c r="AE681" s="2007"/>
      <c r="AF681" s="2392" t="s">
        <v>262</v>
      </c>
      <c r="AG681" s="2006"/>
      <c r="AH681" s="2006"/>
      <c r="AI681" s="2006"/>
      <c r="AJ681" s="2006"/>
      <c r="AK681" s="2007"/>
      <c r="AL681" s="1310"/>
      <c r="AM681" s="474"/>
      <c r="AO681" s="751">
        <f>IF(T688&gt;15,15,T688)</f>
        <v>15</v>
      </c>
      <c r="AP681" s="751"/>
      <c r="AQ681" s="751"/>
    </row>
    <row r="682" spans="1:43">
      <c r="A682" s="354"/>
      <c r="B682" s="257"/>
      <c r="C682" s="257"/>
      <c r="D682" s="257"/>
      <c r="E682" s="257"/>
      <c r="F682" s="257"/>
      <c r="G682" s="257"/>
      <c r="H682" s="257"/>
      <c r="I682" s="257"/>
      <c r="J682" s="257"/>
      <c r="K682" s="257"/>
      <c r="L682" s="257"/>
      <c r="M682" s="257"/>
      <c r="N682" s="257"/>
      <c r="O682" s="257"/>
      <c r="P682" s="257"/>
      <c r="Q682" s="257"/>
      <c r="R682" s="257"/>
      <c r="S682" s="259"/>
      <c r="T682" s="2393"/>
      <c r="U682" s="2008"/>
      <c r="V682" s="2008"/>
      <c r="W682" s="2008"/>
      <c r="X682" s="2008"/>
      <c r="Y682" s="2009"/>
      <c r="Z682" s="2393"/>
      <c r="AA682" s="2008"/>
      <c r="AB682" s="2008"/>
      <c r="AC682" s="2008"/>
      <c r="AD682" s="2008"/>
      <c r="AE682" s="2009"/>
      <c r="AF682" s="2393"/>
      <c r="AG682" s="2008"/>
      <c r="AH682" s="2008"/>
      <c r="AI682" s="2008"/>
      <c r="AJ682" s="2008"/>
      <c r="AK682" s="2009"/>
      <c r="AL682" s="1310"/>
      <c r="AM682" s="474"/>
      <c r="AO682" s="751">
        <f>IF(T689&gt;10,10,T689)</f>
        <v>10</v>
      </c>
      <c r="AP682" s="751"/>
      <c r="AQ682" s="751"/>
    </row>
    <row r="683" spans="1:43">
      <c r="A683" s="961" t="s">
        <v>719</v>
      </c>
      <c r="B683" s="2470" t="s">
        <v>298</v>
      </c>
      <c r="C683" s="2470"/>
      <c r="D683" s="2470"/>
      <c r="E683" s="2470"/>
      <c r="F683" s="2470"/>
      <c r="G683" s="2470"/>
      <c r="H683" s="2470"/>
      <c r="I683" s="2470"/>
      <c r="J683" s="2470"/>
      <c r="K683" s="2470"/>
      <c r="L683" s="2470"/>
      <c r="M683" s="2470"/>
      <c r="N683" s="2470"/>
      <c r="O683" s="2470"/>
      <c r="P683" s="2470"/>
      <c r="Q683" s="2470"/>
      <c r="R683" s="2470"/>
      <c r="S683" s="2471"/>
      <c r="T683" s="2439">
        <f>SUM(T684:Y685)</f>
        <v>10</v>
      </c>
      <c r="U683" s="2439"/>
      <c r="V683" s="2439"/>
      <c r="W683" s="2439"/>
      <c r="X683" s="2439"/>
      <c r="Y683" s="2439"/>
      <c r="Z683" s="2010">
        <v>10</v>
      </c>
      <c r="AA683" s="2010"/>
      <c r="AB683" s="2010"/>
      <c r="AC683" s="2010"/>
      <c r="AD683" s="2010"/>
      <c r="AE683" s="2010"/>
      <c r="AF683" s="2010">
        <f>IF(T683&gt;Z683,Z683,T683)</f>
        <v>10</v>
      </c>
      <c r="AG683" s="2010"/>
      <c r="AH683" s="2010"/>
      <c r="AI683" s="2010"/>
      <c r="AJ683" s="2010"/>
      <c r="AK683" s="2010"/>
      <c r="AL683" s="1310"/>
      <c r="AM683" s="474"/>
    </row>
    <row r="684" spans="1:43">
      <c r="A684" s="963"/>
      <c r="B684" s="964"/>
      <c r="C684" s="972"/>
      <c r="D684" s="962" t="s">
        <v>233</v>
      </c>
      <c r="E684" s="2419" t="s">
        <v>263</v>
      </c>
      <c r="F684" s="2419"/>
      <c r="G684" s="2419"/>
      <c r="H684" s="2419"/>
      <c r="I684" s="2419"/>
      <c r="J684" s="2419"/>
      <c r="K684" s="2419"/>
      <c r="L684" s="2419"/>
      <c r="M684" s="2419"/>
      <c r="N684" s="2419"/>
      <c r="O684" s="2419"/>
      <c r="P684" s="2419"/>
      <c r="Q684" s="2419"/>
      <c r="R684" s="2419"/>
      <c r="S684" s="2420"/>
      <c r="T684" s="2469">
        <f>AJ31</f>
        <v>7</v>
      </c>
      <c r="U684" s="2469"/>
      <c r="V684" s="2469"/>
      <c r="W684" s="2469"/>
      <c r="X684" s="2469"/>
      <c r="Y684" s="2469"/>
      <c r="Z684" s="2418">
        <v>7</v>
      </c>
      <c r="AA684" s="2418"/>
      <c r="AB684" s="2418"/>
      <c r="AC684" s="2418"/>
      <c r="AD684" s="2418"/>
      <c r="AE684" s="2418"/>
      <c r="AF684" s="2450"/>
      <c r="AG684" s="2450"/>
      <c r="AH684" s="2450"/>
      <c r="AI684" s="2450"/>
      <c r="AJ684" s="2450"/>
      <c r="AK684" s="2450"/>
      <c r="AL684" s="1310"/>
      <c r="AM684" s="474"/>
    </row>
    <row r="685" spans="1:43">
      <c r="A685" s="966"/>
      <c r="B685" s="964"/>
      <c r="C685" s="965"/>
      <c r="D685" s="962" t="s">
        <v>477</v>
      </c>
      <c r="E685" s="2419" t="s">
        <v>264</v>
      </c>
      <c r="F685" s="2419"/>
      <c r="G685" s="2419"/>
      <c r="H685" s="2419"/>
      <c r="I685" s="2419"/>
      <c r="J685" s="2419"/>
      <c r="K685" s="2419"/>
      <c r="L685" s="2419"/>
      <c r="M685" s="2419"/>
      <c r="N685" s="2419"/>
      <c r="O685" s="2419"/>
      <c r="P685" s="2419"/>
      <c r="Q685" s="2419"/>
      <c r="R685" s="2419"/>
      <c r="S685" s="2420"/>
      <c r="T685" s="2469">
        <f>AJ47</f>
        <v>3</v>
      </c>
      <c r="U685" s="2469"/>
      <c r="V685" s="2469"/>
      <c r="W685" s="2469"/>
      <c r="X685" s="2469"/>
      <c r="Y685" s="2469"/>
      <c r="Z685" s="2418">
        <v>3</v>
      </c>
      <c r="AA685" s="2418"/>
      <c r="AB685" s="2418"/>
      <c r="AC685" s="2418"/>
      <c r="AD685" s="2418"/>
      <c r="AE685" s="2418"/>
      <c r="AF685" s="2450"/>
      <c r="AG685" s="2450"/>
      <c r="AH685" s="2450"/>
      <c r="AI685" s="2450"/>
      <c r="AJ685" s="2450"/>
      <c r="AK685" s="2450"/>
      <c r="AL685" s="1310"/>
      <c r="AM685" s="474"/>
      <c r="AO685" s="46">
        <f>IF(T692&gt;50,50,T692)</f>
        <v>50</v>
      </c>
    </row>
    <row r="686" spans="1:43">
      <c r="A686" s="961" t="s">
        <v>8</v>
      </c>
      <c r="B686" s="2470" t="s">
        <v>299</v>
      </c>
      <c r="C686" s="2470"/>
      <c r="D686" s="2470"/>
      <c r="E686" s="2470"/>
      <c r="F686" s="2470"/>
      <c r="G686" s="2470"/>
      <c r="H686" s="2470"/>
      <c r="I686" s="2470"/>
      <c r="J686" s="2470"/>
      <c r="K686" s="2470"/>
      <c r="L686" s="2470"/>
      <c r="M686" s="2470"/>
      <c r="N686" s="2470"/>
      <c r="O686" s="2470"/>
      <c r="P686" s="2470"/>
      <c r="Q686" s="2470"/>
      <c r="R686" s="2470"/>
      <c r="S686" s="2471"/>
      <c r="T686" s="2439">
        <f>AK73</f>
        <v>10</v>
      </c>
      <c r="U686" s="2439"/>
      <c r="V686" s="2439"/>
      <c r="W686" s="2439"/>
      <c r="X686" s="2439"/>
      <c r="Y686" s="2439"/>
      <c r="Z686" s="2010">
        <v>10</v>
      </c>
      <c r="AA686" s="2010"/>
      <c r="AB686" s="2010"/>
      <c r="AC686" s="2010"/>
      <c r="AD686" s="2010"/>
      <c r="AE686" s="2010"/>
      <c r="AF686" s="2010">
        <f>IF(T686&gt;Z686,Z686,T686)</f>
        <v>10</v>
      </c>
      <c r="AG686" s="2010"/>
      <c r="AH686" s="2010"/>
      <c r="AI686" s="2010"/>
      <c r="AJ686" s="2010"/>
      <c r="AK686" s="2010"/>
      <c r="AL686" s="1310"/>
      <c r="AM686" s="474"/>
    </row>
    <row r="687" spans="1:43">
      <c r="A687" s="961" t="s">
        <v>131</v>
      </c>
      <c r="B687" s="2470" t="s">
        <v>300</v>
      </c>
      <c r="C687" s="2470"/>
      <c r="D687" s="2470"/>
      <c r="E687" s="2470"/>
      <c r="F687" s="2470"/>
      <c r="G687" s="2470"/>
      <c r="H687" s="2470"/>
      <c r="I687" s="2470"/>
      <c r="J687" s="2470"/>
      <c r="K687" s="2470"/>
      <c r="L687" s="2470"/>
      <c r="M687" s="2470"/>
      <c r="N687" s="2470"/>
      <c r="O687" s="2470"/>
      <c r="P687" s="2470"/>
      <c r="Q687" s="2470"/>
      <c r="R687" s="2470"/>
      <c r="S687" s="2471"/>
      <c r="T687" s="2439">
        <f>AO680</f>
        <v>25</v>
      </c>
      <c r="U687" s="2439">
        <f>IF(AND(AND(A688&gt;15,15+A689),A689&gt;10,A688+10),A687,0)</f>
        <v>0</v>
      </c>
      <c r="V687" s="2439">
        <f>IF(AND(AND(B688&gt;15,15+B689),B689&gt;10,B688+10),#REF!,0)</f>
        <v>0</v>
      </c>
      <c r="W687" s="2439">
        <f>IF(AND(AND(C688&gt;15,15+C689),C689&gt;10,C688+10),B687,0)</f>
        <v>0</v>
      </c>
      <c r="X687" s="2439" t="e">
        <f>IF(AND(AND(D688&gt;15,15+D689),D689&gt;10,D688+10),D687,0)</f>
        <v>#VALUE!</v>
      </c>
      <c r="Y687" s="2439" t="e">
        <f>IF(AND(AND(E688&gt;15,15+E689),E689&gt;10,E688+10),E687,0)</f>
        <v>#VALUE!</v>
      </c>
      <c r="Z687" s="2010">
        <v>25</v>
      </c>
      <c r="AA687" s="2010"/>
      <c r="AB687" s="2010"/>
      <c r="AC687" s="2010"/>
      <c r="AD687" s="2010"/>
      <c r="AE687" s="2010"/>
      <c r="AF687" s="2010">
        <f>IF(T687&gt;Z687,Z687,T687)</f>
        <v>25</v>
      </c>
      <c r="AG687" s="2010"/>
      <c r="AH687" s="2010"/>
      <c r="AI687" s="2010"/>
      <c r="AJ687" s="2010"/>
      <c r="AK687" s="2010"/>
      <c r="AL687" s="1310"/>
      <c r="AM687" s="474"/>
    </row>
    <row r="688" spans="1:43">
      <c r="A688" s="961"/>
      <c r="B688" s="964"/>
      <c r="C688" s="965"/>
      <c r="D688" s="962" t="s">
        <v>1644</v>
      </c>
      <c r="E688" s="2419" t="s">
        <v>324</v>
      </c>
      <c r="F688" s="2419"/>
      <c r="G688" s="2419"/>
      <c r="H688" s="2419"/>
      <c r="I688" s="2419"/>
      <c r="J688" s="2419"/>
      <c r="K688" s="2419"/>
      <c r="L688" s="2419"/>
      <c r="M688" s="2419"/>
      <c r="N688" s="2419"/>
      <c r="O688" s="2419"/>
      <c r="P688" s="2419"/>
      <c r="Q688" s="2419"/>
      <c r="R688" s="2419"/>
      <c r="S688" s="2420"/>
      <c r="T688" s="2469">
        <f>AK285</f>
        <v>20</v>
      </c>
      <c r="U688" s="2469"/>
      <c r="V688" s="2469"/>
      <c r="W688" s="2469"/>
      <c r="X688" s="2469"/>
      <c r="Y688" s="2469"/>
      <c r="Z688" s="2418">
        <v>15</v>
      </c>
      <c r="AA688" s="2418"/>
      <c r="AB688" s="2418"/>
      <c r="AC688" s="2418"/>
      <c r="AD688" s="2418"/>
      <c r="AE688" s="2418"/>
      <c r="AF688" s="2450"/>
      <c r="AG688" s="2450"/>
      <c r="AH688" s="2450"/>
      <c r="AI688" s="2450"/>
      <c r="AJ688" s="2450"/>
      <c r="AK688" s="2450"/>
      <c r="AL688" s="1310"/>
      <c r="AM688" s="474"/>
    </row>
    <row r="689" spans="1:39">
      <c r="A689" s="967"/>
      <c r="B689" s="968"/>
      <c r="C689" s="969"/>
      <c r="D689" s="970" t="s">
        <v>1645</v>
      </c>
      <c r="E689" s="2419" t="s">
        <v>325</v>
      </c>
      <c r="F689" s="2419"/>
      <c r="G689" s="2419"/>
      <c r="H689" s="2419"/>
      <c r="I689" s="2419"/>
      <c r="J689" s="2419"/>
      <c r="K689" s="2419"/>
      <c r="L689" s="2419"/>
      <c r="M689" s="2419"/>
      <c r="N689" s="2419"/>
      <c r="O689" s="2419"/>
      <c r="P689" s="2419"/>
      <c r="Q689" s="2419"/>
      <c r="R689" s="2419"/>
      <c r="S689" s="2420"/>
      <c r="T689" s="2469">
        <f>AK476</f>
        <v>12.5</v>
      </c>
      <c r="U689" s="2469"/>
      <c r="V689" s="2469"/>
      <c r="W689" s="2469"/>
      <c r="X689" s="2469"/>
      <c r="Y689" s="2469"/>
      <c r="Z689" s="2418">
        <v>10</v>
      </c>
      <c r="AA689" s="2418"/>
      <c r="AB689" s="2418"/>
      <c r="AC689" s="2418"/>
      <c r="AD689" s="2418"/>
      <c r="AE689" s="2418"/>
      <c r="AF689" s="2450"/>
      <c r="AG689" s="2450"/>
      <c r="AH689" s="2450"/>
      <c r="AI689" s="2450"/>
      <c r="AJ689" s="2450"/>
      <c r="AK689" s="2450"/>
      <c r="AL689" s="1310"/>
      <c r="AM689" s="474"/>
    </row>
    <row r="690" spans="1:39" hidden="1">
      <c r="A690" s="961" t="s">
        <v>134</v>
      </c>
      <c r="B690" s="2470" t="s">
        <v>599</v>
      </c>
      <c r="C690" s="2470"/>
      <c r="D690" s="2470"/>
      <c r="E690" s="2470"/>
      <c r="F690" s="2470"/>
      <c r="G690" s="2470"/>
      <c r="H690" s="2470"/>
      <c r="I690" s="2470"/>
      <c r="J690" s="2470"/>
      <c r="K690" s="2470"/>
      <c r="L690" s="2470"/>
      <c r="M690" s="2470"/>
      <c r="N690" s="2470"/>
      <c r="O690" s="2470"/>
      <c r="P690" s="2470"/>
      <c r="Q690" s="2470"/>
      <c r="R690" s="2470"/>
      <c r="S690" s="2471"/>
      <c r="T690" s="2439"/>
      <c r="U690" s="2439"/>
      <c r="V690" s="2439"/>
      <c r="W690" s="2439"/>
      <c r="X690" s="2439"/>
      <c r="Y690" s="2439"/>
      <c r="Z690" s="2010"/>
      <c r="AA690" s="2010"/>
      <c r="AB690" s="2010"/>
      <c r="AC690" s="2010"/>
      <c r="AD690" s="2010"/>
      <c r="AE690" s="2010"/>
      <c r="AF690" s="2010"/>
      <c r="AG690" s="2010"/>
      <c r="AH690" s="2010"/>
      <c r="AI690" s="2010"/>
      <c r="AJ690" s="2010"/>
      <c r="AK690" s="2010"/>
      <c r="AL690" s="1310"/>
      <c r="AM690" s="474"/>
    </row>
    <row r="691" spans="1:39">
      <c r="A691" s="1395" t="s">
        <v>134</v>
      </c>
      <c r="B691" s="2470" t="s">
        <v>600</v>
      </c>
      <c r="C691" s="2470"/>
      <c r="D691" s="2470"/>
      <c r="E691" s="2470"/>
      <c r="F691" s="2470"/>
      <c r="G691" s="2470"/>
      <c r="H691" s="2470"/>
      <c r="I691" s="2470"/>
      <c r="J691" s="2470"/>
      <c r="K691" s="2470"/>
      <c r="L691" s="2470"/>
      <c r="M691" s="2470"/>
      <c r="N691" s="2470"/>
      <c r="O691" s="2470"/>
      <c r="P691" s="2470"/>
      <c r="Q691" s="2470"/>
      <c r="R691" s="2470"/>
      <c r="S691" s="2471"/>
      <c r="T691" s="2460">
        <f>IF(SUM(T692:Y693)&gt;52,52,SUM(T692:Y693))</f>
        <v>52</v>
      </c>
      <c r="U691" s="2438"/>
      <c r="V691" s="2438"/>
      <c r="W691" s="2438"/>
      <c r="X691" s="2438"/>
      <c r="Y691" s="2438"/>
      <c r="Z691" s="2438">
        <v>52</v>
      </c>
      <c r="AA691" s="2438"/>
      <c r="AB691" s="2438"/>
      <c r="AC691" s="2438"/>
      <c r="AD691" s="2438"/>
      <c r="AE691" s="2438"/>
      <c r="AF691" s="2438">
        <f>$AO$685+$T$693</f>
        <v>52</v>
      </c>
      <c r="AG691" s="2438"/>
      <c r="AH691" s="2438"/>
      <c r="AI691" s="2438"/>
      <c r="AJ691" s="2438"/>
      <c r="AK691" s="2438"/>
      <c r="AL691" s="1310"/>
      <c r="AM691" s="474"/>
    </row>
    <row r="692" spans="1:39">
      <c r="A692" s="971"/>
      <c r="B692" s="973"/>
      <c r="C692" s="974"/>
      <c r="D692" s="975" t="s">
        <v>1646</v>
      </c>
      <c r="E692" s="2419" t="s">
        <v>200</v>
      </c>
      <c r="F692" s="2419"/>
      <c r="G692" s="2419"/>
      <c r="H692" s="2419"/>
      <c r="I692" s="2419"/>
      <c r="J692" s="2419"/>
      <c r="K692" s="2419"/>
      <c r="L692" s="2419"/>
      <c r="M692" s="2419"/>
      <c r="N692" s="2419"/>
      <c r="O692" s="2419"/>
      <c r="P692" s="2419"/>
      <c r="Q692" s="2419"/>
      <c r="R692" s="2419"/>
      <c r="S692" s="2420"/>
      <c r="T692" s="2389">
        <f>AC592</f>
        <v>72.5</v>
      </c>
      <c r="U692" s="2390"/>
      <c r="V692" s="2390"/>
      <c r="W692" s="2390"/>
      <c r="X692" s="2390"/>
      <c r="Y692" s="2391"/>
      <c r="Z692" s="2389">
        <v>50</v>
      </c>
      <c r="AA692" s="2390"/>
      <c r="AB692" s="2390"/>
      <c r="AC692" s="2390"/>
      <c r="AD692" s="2390"/>
      <c r="AE692" s="2391"/>
      <c r="AF692" s="2464"/>
      <c r="AG692" s="2465"/>
      <c r="AH692" s="2465"/>
      <c r="AI692" s="2465"/>
      <c r="AJ692" s="2465"/>
      <c r="AK692" s="2466"/>
      <c r="AL692" s="1310"/>
      <c r="AM692" s="46"/>
    </row>
    <row r="693" spans="1:39">
      <c r="A693" s="976"/>
      <c r="B693" s="964"/>
      <c r="C693" s="965"/>
      <c r="D693" s="962" t="s">
        <v>1647</v>
      </c>
      <c r="E693" s="2419" t="s">
        <v>297</v>
      </c>
      <c r="F693" s="2419"/>
      <c r="G693" s="2419"/>
      <c r="H693" s="2419"/>
      <c r="I693" s="2419"/>
      <c r="J693" s="2419"/>
      <c r="K693" s="2419"/>
      <c r="L693" s="2419"/>
      <c r="M693" s="2419"/>
      <c r="N693" s="2419"/>
      <c r="O693" s="2419"/>
      <c r="P693" s="2419"/>
      <c r="Q693" s="2419"/>
      <c r="R693" s="2419"/>
      <c r="S693" s="2420"/>
      <c r="T693" s="2457">
        <f>IF(AJ616&gt;0,2,0)</f>
        <v>2</v>
      </c>
      <c r="U693" s="2458"/>
      <c r="V693" s="2458"/>
      <c r="W693" s="2458"/>
      <c r="X693" s="2458"/>
      <c r="Y693" s="2459"/>
      <c r="Z693" s="2373">
        <v>2</v>
      </c>
      <c r="AA693" s="2456"/>
      <c r="AB693" s="2456"/>
      <c r="AC693" s="2456"/>
      <c r="AD693" s="2456"/>
      <c r="AE693" s="2374"/>
      <c r="AF693" s="2453"/>
      <c r="AG693" s="2454"/>
      <c r="AH693" s="2454"/>
      <c r="AI693" s="2454"/>
      <c r="AJ693" s="2454"/>
      <c r="AK693" s="2455"/>
      <c r="AL693" s="1310"/>
      <c r="AM693" s="46"/>
    </row>
    <row r="694" spans="1:39">
      <c r="A694" s="971" t="s">
        <v>135</v>
      </c>
      <c r="B694" s="2470" t="s">
        <v>601</v>
      </c>
      <c r="C694" s="2470"/>
      <c r="D694" s="2470"/>
      <c r="E694" s="2470"/>
      <c r="F694" s="2470"/>
      <c r="G694" s="2470"/>
      <c r="H694" s="2470"/>
      <c r="I694" s="2470"/>
      <c r="J694" s="2470"/>
      <c r="K694" s="2470"/>
      <c r="L694" s="2470"/>
      <c r="M694" s="2470"/>
      <c r="N694" s="2470"/>
      <c r="O694" s="2470"/>
      <c r="P694" s="2470"/>
      <c r="Q694" s="2470"/>
      <c r="R694" s="2470"/>
      <c r="S694" s="2471"/>
      <c r="T694" s="2439">
        <f>AK645</f>
        <v>10</v>
      </c>
      <c r="U694" s="2439"/>
      <c r="V694" s="2439"/>
      <c r="W694" s="2439"/>
      <c r="X694" s="2439"/>
      <c r="Y694" s="2439"/>
      <c r="Z694" s="2010">
        <v>10</v>
      </c>
      <c r="AA694" s="2010"/>
      <c r="AB694" s="2010"/>
      <c r="AC694" s="2010"/>
      <c r="AD694" s="2010"/>
      <c r="AE694" s="2010"/>
      <c r="AF694" s="1973">
        <f>IF(T694&gt;Z694,Z694,T694)</f>
        <v>10</v>
      </c>
      <c r="AG694" s="1974"/>
      <c r="AH694" s="1974"/>
      <c r="AI694" s="1974"/>
      <c r="AJ694" s="1974"/>
      <c r="AK694" s="2063"/>
      <c r="AL694" s="1310"/>
      <c r="AM694" s="205"/>
    </row>
    <row r="695" spans="1:39">
      <c r="A695" s="971" t="s">
        <v>137</v>
      </c>
      <c r="B695" s="2470" t="s">
        <v>1089</v>
      </c>
      <c r="C695" s="2470"/>
      <c r="D695" s="2470"/>
      <c r="E695" s="2470"/>
      <c r="F695" s="2470"/>
      <c r="G695" s="2470"/>
      <c r="H695" s="2470"/>
      <c r="I695" s="2470"/>
      <c r="J695" s="2470"/>
      <c r="K695" s="2470"/>
      <c r="L695" s="2470"/>
      <c r="M695" s="2470"/>
      <c r="N695" s="2470"/>
      <c r="O695" s="2470"/>
      <c r="P695" s="2470"/>
      <c r="Q695" s="2470"/>
      <c r="R695" s="2470"/>
      <c r="S695" s="2471"/>
      <c r="T695" s="2558">
        <f>IF(AK673&gt;2,2,AK673)</f>
        <v>2</v>
      </c>
      <c r="U695" s="2559"/>
      <c r="V695" s="2559"/>
      <c r="W695" s="2559"/>
      <c r="X695" s="2559"/>
      <c r="Y695" s="2560"/>
      <c r="Z695" s="1973">
        <v>2</v>
      </c>
      <c r="AA695" s="1974"/>
      <c r="AB695" s="1974"/>
      <c r="AC695" s="1974"/>
      <c r="AD695" s="1974"/>
      <c r="AE695" s="2063"/>
      <c r="AF695" s="1973">
        <f>IF(T695&gt;Z695,Z695,T695)</f>
        <v>2</v>
      </c>
      <c r="AG695" s="2451"/>
      <c r="AH695" s="2451"/>
      <c r="AI695" s="2451"/>
      <c r="AJ695" s="2451"/>
      <c r="AK695" s="2452"/>
      <c r="AL695" s="358"/>
      <c r="AM695" s="205"/>
    </row>
    <row r="696" spans="1:39">
      <c r="A696" s="2554" t="s">
        <v>327</v>
      </c>
      <c r="B696" s="2470"/>
      <c r="C696" s="2470"/>
      <c r="D696" s="2470"/>
      <c r="E696" s="2470"/>
      <c r="F696" s="2470"/>
      <c r="G696" s="2470"/>
      <c r="H696" s="2470"/>
      <c r="I696" s="2470"/>
      <c r="J696" s="2470"/>
      <c r="K696" s="2470"/>
      <c r="L696" s="2470"/>
      <c r="M696" s="2470"/>
      <c r="N696" s="2470"/>
      <c r="O696" s="2470"/>
      <c r="P696" s="2470"/>
      <c r="Q696" s="2470"/>
      <c r="R696" s="2470"/>
      <c r="S696" s="2471"/>
      <c r="T696" s="1965"/>
      <c r="U696" s="1965"/>
      <c r="V696" s="1965"/>
      <c r="W696" s="1965"/>
      <c r="X696" s="1965"/>
      <c r="Y696" s="1965"/>
      <c r="Z696" s="2418" t="s">
        <v>326</v>
      </c>
      <c r="AA696" s="2418"/>
      <c r="AB696" s="2418"/>
      <c r="AC696" s="2418"/>
      <c r="AD696" s="2418"/>
      <c r="AE696" s="2418"/>
      <c r="AF696" s="1973">
        <f>IF(T696&gt;0,T696,0)</f>
        <v>0</v>
      </c>
      <c r="AG696" s="1974"/>
      <c r="AH696" s="1974"/>
      <c r="AI696" s="1974"/>
      <c r="AJ696" s="1974"/>
      <c r="AK696" s="2063"/>
      <c r="AL696" s="1301"/>
      <c r="AM696" s="205"/>
    </row>
    <row r="697" spans="1:39" ht="15.6">
      <c r="A697" s="2544" t="s">
        <v>788</v>
      </c>
      <c r="B697" s="2545"/>
      <c r="C697" s="2545"/>
      <c r="D697" s="2545"/>
      <c r="E697" s="2545"/>
      <c r="F697" s="2545"/>
      <c r="G697" s="2545"/>
      <c r="H697" s="2545"/>
      <c r="I697" s="2545"/>
      <c r="J697" s="2545"/>
      <c r="K697" s="2545"/>
      <c r="L697" s="2545"/>
      <c r="M697" s="2545"/>
      <c r="N697" s="2545"/>
      <c r="O697" s="2545"/>
      <c r="P697" s="2545"/>
      <c r="Q697" s="2545"/>
      <c r="R697" s="2545"/>
      <c r="S697" s="2545"/>
      <c r="T697" s="2545"/>
      <c r="U697" s="2545"/>
      <c r="V697" s="2545"/>
      <c r="W697" s="2545"/>
      <c r="X697" s="2545"/>
      <c r="Y697" s="2545"/>
      <c r="Z697" s="2545"/>
      <c r="AA697" s="2545"/>
      <c r="AB697" s="2545"/>
      <c r="AC697" s="2545"/>
      <c r="AD697" s="2545"/>
      <c r="AE697" s="2546"/>
      <c r="AF697" s="2440">
        <f>SUM(AF683:AK695)-AF696</f>
        <v>109</v>
      </c>
      <c r="AG697" s="2441"/>
      <c r="AH697" s="2441"/>
      <c r="AI697" s="2441"/>
      <c r="AJ697" s="2441"/>
      <c r="AK697" s="2442"/>
      <c r="AL697" s="1311"/>
      <c r="AM697" s="46"/>
    </row>
    <row r="698" spans="1:39" ht="15.6">
      <c r="A698" s="2547"/>
      <c r="B698" s="2548"/>
      <c r="C698" s="2548"/>
      <c r="D698" s="2548"/>
      <c r="E698" s="2548"/>
      <c r="F698" s="2548"/>
      <c r="G698" s="2548"/>
      <c r="H698" s="2548"/>
      <c r="I698" s="2548"/>
      <c r="J698" s="2548"/>
      <c r="K698" s="2548"/>
      <c r="L698" s="2548"/>
      <c r="M698" s="2548"/>
      <c r="N698" s="2548"/>
      <c r="O698" s="2548"/>
      <c r="P698" s="2548"/>
      <c r="Q698" s="2548"/>
      <c r="R698" s="2548"/>
      <c r="S698" s="2548"/>
      <c r="T698" s="2548"/>
      <c r="U698" s="2548"/>
      <c r="V698" s="2548"/>
      <c r="W698" s="2548"/>
      <c r="X698" s="2548"/>
      <c r="Y698" s="2548"/>
      <c r="Z698" s="2548"/>
      <c r="AA698" s="2548"/>
      <c r="AB698" s="2548"/>
      <c r="AC698" s="2548"/>
      <c r="AD698" s="2548"/>
      <c r="AE698" s="2549"/>
      <c r="AF698" s="2443"/>
      <c r="AG698" s="2444"/>
      <c r="AH698" s="2444"/>
      <c r="AI698" s="2444"/>
      <c r="AJ698" s="2444"/>
      <c r="AK698" s="2445"/>
      <c r="AL698" s="1311"/>
      <c r="AM698" s="46"/>
    </row>
    <row r="699" spans="1:39">
      <c r="A699" s="1552" t="s">
        <v>7</v>
      </c>
      <c r="B699" s="1552"/>
      <c r="C699" s="1552"/>
      <c r="D699" s="1552"/>
      <c r="E699" s="1552"/>
      <c r="F699" s="1552"/>
      <c r="G699" s="1552"/>
      <c r="H699" s="1552"/>
      <c r="I699" s="1552"/>
      <c r="J699" s="1552"/>
      <c r="K699" s="1552"/>
      <c r="L699" s="1552"/>
      <c r="M699" s="1552"/>
      <c r="N699" s="1552"/>
      <c r="O699" s="1552"/>
      <c r="P699" s="1552"/>
      <c r="Q699" s="1552"/>
      <c r="R699" s="1552"/>
      <c r="S699" s="1552"/>
      <c r="T699" s="1552"/>
      <c r="U699" s="1552"/>
      <c r="V699" s="1552"/>
      <c r="W699" s="1552"/>
      <c r="X699" s="1552"/>
      <c r="Y699" s="1552"/>
      <c r="Z699" s="1552"/>
      <c r="AA699" s="1552"/>
      <c r="AB699" s="1552"/>
      <c r="AC699" s="1552"/>
      <c r="AD699" s="1552"/>
      <c r="AE699" s="1552"/>
      <c r="AF699" s="1552"/>
      <c r="AG699" s="1552"/>
      <c r="AH699" s="1552"/>
      <c r="AI699" s="1552"/>
      <c r="AJ699" s="1552"/>
      <c r="AK699" s="1552"/>
      <c r="AL699" s="1552"/>
      <c r="AM699" s="2298"/>
    </row>
    <row r="700" spans="1:39" ht="12.6" customHeight="1">
      <c r="A700" s="1552"/>
      <c r="B700" s="1552"/>
      <c r="C700" s="1552"/>
      <c r="D700" s="1552"/>
      <c r="E700" s="1552"/>
      <c r="F700" s="1552"/>
      <c r="G700" s="1552"/>
      <c r="H700" s="1552"/>
      <c r="I700" s="1552"/>
      <c r="J700" s="1552"/>
      <c r="K700" s="1552"/>
      <c r="L700" s="1552"/>
      <c r="M700" s="1552"/>
      <c r="N700" s="1552"/>
      <c r="O700" s="1552"/>
      <c r="P700" s="1552"/>
      <c r="Q700" s="1552"/>
      <c r="R700" s="1552"/>
      <c r="S700" s="1552"/>
      <c r="T700" s="1552"/>
      <c r="U700" s="1552"/>
      <c r="V700" s="1552"/>
      <c r="W700" s="1552"/>
      <c r="X700" s="1552"/>
      <c r="Y700" s="1552"/>
      <c r="Z700" s="1552"/>
      <c r="AA700" s="1552"/>
      <c r="AB700" s="1552"/>
      <c r="AC700" s="1552"/>
      <c r="AD700" s="1552"/>
      <c r="AE700" s="1552"/>
      <c r="AF700" s="1552"/>
      <c r="AG700" s="1552"/>
      <c r="AH700" s="1552"/>
      <c r="AI700" s="1552"/>
      <c r="AJ700" s="1552"/>
      <c r="AK700" s="1552"/>
      <c r="AL700" s="1552"/>
      <c r="AM700" s="2298"/>
    </row>
    <row r="701" spans="1:39" ht="56.25" customHeight="1">
      <c r="A701" s="1552"/>
      <c r="B701" s="1552"/>
      <c r="C701" s="1552"/>
      <c r="D701" s="1552"/>
      <c r="E701" s="1552"/>
      <c r="F701" s="1552"/>
      <c r="G701" s="1552"/>
      <c r="H701" s="1552"/>
      <c r="I701" s="1552"/>
      <c r="J701" s="1552"/>
      <c r="K701" s="1552"/>
      <c r="L701" s="1552"/>
      <c r="M701" s="1552"/>
      <c r="N701" s="1552"/>
      <c r="O701" s="1552"/>
      <c r="P701" s="1552"/>
      <c r="Q701" s="1552"/>
      <c r="R701" s="1552"/>
      <c r="S701" s="1552"/>
      <c r="T701" s="1552"/>
      <c r="U701" s="1552"/>
      <c r="V701" s="1552"/>
      <c r="W701" s="1552"/>
      <c r="X701" s="1552"/>
      <c r="Y701" s="1552"/>
      <c r="Z701" s="1552"/>
      <c r="AA701" s="1552"/>
      <c r="AB701" s="1552"/>
      <c r="AC701" s="1552"/>
      <c r="AD701" s="1552"/>
      <c r="AE701" s="1552"/>
      <c r="AF701" s="1552"/>
      <c r="AG701" s="1552"/>
      <c r="AH701" s="1552"/>
      <c r="AI701" s="1552"/>
      <c r="AJ701" s="1552"/>
      <c r="AK701" s="1552"/>
      <c r="AL701" s="1552"/>
      <c r="AM701" s="2298"/>
    </row>
    <row r="702" spans="1:39" ht="12.6" hidden="1" customHeight="1">
      <c r="A702" s="1552"/>
      <c r="B702" s="1552"/>
      <c r="C702" s="1552"/>
      <c r="D702" s="1552"/>
      <c r="E702" s="1552"/>
      <c r="F702" s="1552"/>
      <c r="G702" s="1552"/>
      <c r="H702" s="1552"/>
      <c r="I702" s="1552"/>
      <c r="J702" s="1552"/>
      <c r="K702" s="1552"/>
      <c r="L702" s="1552"/>
      <c r="M702" s="1552"/>
      <c r="N702" s="1552"/>
      <c r="O702" s="1552"/>
      <c r="P702" s="1552"/>
      <c r="Q702" s="1552"/>
      <c r="R702" s="1552"/>
      <c r="S702" s="1552"/>
      <c r="T702" s="1552"/>
      <c r="U702" s="1552"/>
      <c r="V702" s="1552"/>
      <c r="W702" s="1552"/>
      <c r="X702" s="1552"/>
      <c r="Y702" s="1552"/>
      <c r="Z702" s="1552"/>
      <c r="AA702" s="1552"/>
      <c r="AB702" s="1552"/>
      <c r="AC702" s="1552"/>
      <c r="AD702" s="1552"/>
      <c r="AE702" s="1552"/>
      <c r="AF702" s="1552"/>
      <c r="AG702" s="1552"/>
      <c r="AH702" s="1552"/>
      <c r="AI702" s="1552"/>
      <c r="AJ702" s="1552"/>
      <c r="AK702" s="1552"/>
      <c r="AL702" s="1552"/>
      <c r="AM702" s="2298"/>
    </row>
    <row r="703" spans="1:39" ht="12.6" hidden="1" customHeight="1">
      <c r="A703" s="1552"/>
      <c r="B703" s="1552"/>
      <c r="C703" s="1552"/>
      <c r="D703" s="1552"/>
      <c r="E703" s="1552"/>
      <c r="F703" s="1552"/>
      <c r="G703" s="1552"/>
      <c r="H703" s="1552"/>
      <c r="I703" s="1552"/>
      <c r="J703" s="1552"/>
      <c r="K703" s="1552"/>
      <c r="L703" s="1552"/>
      <c r="M703" s="1552"/>
      <c r="N703" s="1552"/>
      <c r="O703" s="1552"/>
      <c r="P703" s="1552"/>
      <c r="Q703" s="1552"/>
      <c r="R703" s="1552"/>
      <c r="S703" s="1552"/>
      <c r="T703" s="1552"/>
      <c r="U703" s="1552"/>
      <c r="V703" s="1552"/>
      <c r="W703" s="1552"/>
      <c r="X703" s="1552"/>
      <c r="Y703" s="1552"/>
      <c r="Z703" s="1552"/>
      <c r="AA703" s="1552"/>
      <c r="AB703" s="1552"/>
      <c r="AC703" s="1552"/>
      <c r="AD703" s="1552"/>
      <c r="AE703" s="1552"/>
      <c r="AF703" s="1552"/>
      <c r="AG703" s="1552"/>
      <c r="AH703" s="1552"/>
      <c r="AI703" s="1552"/>
      <c r="AJ703" s="1552"/>
      <c r="AK703" s="1552"/>
      <c r="AL703" s="1552"/>
      <c r="AM703" s="2298"/>
    </row>
    <row r="704" spans="1:39" ht="12.6" hidden="1" customHeight="1">
      <c r="A704" s="1552"/>
      <c r="B704" s="1552"/>
      <c r="C704" s="1552"/>
      <c r="D704" s="1552"/>
      <c r="E704" s="1552"/>
      <c r="F704" s="1552"/>
      <c r="G704" s="1552"/>
      <c r="H704" s="1552"/>
      <c r="I704" s="1552"/>
      <c r="J704" s="1552"/>
      <c r="K704" s="1552"/>
      <c r="L704" s="1552"/>
      <c r="M704" s="1552"/>
      <c r="N704" s="1552"/>
      <c r="O704" s="1552"/>
      <c r="P704" s="1552"/>
      <c r="Q704" s="1552"/>
      <c r="R704" s="1552"/>
      <c r="S704" s="1552"/>
      <c r="T704" s="1552"/>
      <c r="U704" s="1552"/>
      <c r="V704" s="1552"/>
      <c r="W704" s="1552"/>
      <c r="X704" s="1552"/>
      <c r="Y704" s="1552"/>
      <c r="Z704" s="1552"/>
      <c r="AA704" s="1552"/>
      <c r="AB704" s="1552"/>
      <c r="AC704" s="1552"/>
      <c r="AD704" s="1552"/>
      <c r="AE704" s="1552"/>
      <c r="AF704" s="1552"/>
      <c r="AG704" s="1552"/>
      <c r="AH704" s="1552"/>
      <c r="AI704" s="1552"/>
      <c r="AJ704" s="1552"/>
      <c r="AK704" s="1552"/>
      <c r="AL704" s="1552"/>
      <c r="AM704" s="2298"/>
    </row>
    <row r="713" spans="1:1" hidden="1">
      <c r="A713" s="30"/>
    </row>
    <row r="714" spans="1:1" hidden="1">
      <c r="A714" s="30"/>
    </row>
    <row r="715" spans="1:1" hidden="1">
      <c r="A715" s="30"/>
    </row>
    <row r="716" spans="1:1" hidden="1">
      <c r="A716" s="30"/>
    </row>
    <row r="717" spans="1:1" hidden="1">
      <c r="A717" s="30"/>
    </row>
    <row r="718" spans="1:1" hidden="1">
      <c r="A718" s="30"/>
    </row>
    <row r="720" spans="1:1" hidden="1">
      <c r="A720" s="30"/>
    </row>
    <row r="721" spans="1:32" hidden="1">
      <c r="A721" s="30"/>
    </row>
    <row r="722" spans="1:32" hidden="1">
      <c r="A722" s="30"/>
    </row>
    <row r="723" spans="1:32" hidden="1">
      <c r="A723" s="30"/>
    </row>
    <row r="724" spans="1:32" hidden="1">
      <c r="A724" s="30"/>
    </row>
    <row r="725" spans="1:32" hidden="1">
      <c r="A725" s="30"/>
      <c r="AF725" s="30"/>
    </row>
    <row r="726" spans="1:32" hidden="1">
      <c r="A726" s="30"/>
    </row>
    <row r="727" spans="1:32" hidden="1">
      <c r="A727" s="30"/>
    </row>
    <row r="728" spans="1:32" hidden="1">
      <c r="A728" s="30"/>
    </row>
    <row r="729" spans="1:32" hidden="1">
      <c r="A729" s="30"/>
    </row>
    <row r="730" spans="1:32" hidden="1">
      <c r="A730" s="30"/>
    </row>
    <row r="731" spans="1:32" hidden="1">
      <c r="A731" s="30"/>
    </row>
    <row r="732" spans="1:32" hidden="1">
      <c r="A732" s="30"/>
    </row>
    <row r="733" spans="1:32" hidden="1">
      <c r="A733" s="30"/>
    </row>
    <row r="734" spans="1:32" hidden="1">
      <c r="A734" s="30"/>
    </row>
    <row r="735" spans="1:32" hidden="1">
      <c r="A735" s="30"/>
    </row>
    <row r="736" spans="1:32" hidden="1">
      <c r="A736" s="30"/>
    </row>
    <row r="860"/>
    <row r="861"/>
    <row r="862"/>
    <row r="863"/>
    <row r="864"/>
    <row r="865"/>
    <row r="866"/>
    <row r="867"/>
    <row r="868"/>
    <row r="869"/>
    <row r="870"/>
    <row r="871"/>
    <row r="872"/>
    <row r="873"/>
    <row r="874"/>
    <row r="875"/>
    <row r="876"/>
    <row r="877"/>
    <row r="878"/>
    <row r="879"/>
    <row r="880"/>
    <row r="881"/>
  </sheetData>
  <sheetProtection algorithmName="SHA-512" hashValue="wNfO049FOhC/e7wPPVTmkVQxCpk06FTpLnZ8BX2aRu/rn87ZAHzCmo7FfQzghUo6yTdDnkhJK5vBcpOmQByzhw==" saltValue="JpTwqGRt78T8cx0Yoxo7z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7" right="0.7" top="0.75" bottom="0.75" header="0.3" footer="0.3"/>
      <printOptions horizontalCentered="1"/>
      <pageSetup scale="90" firstPageNumber="26" fitToHeight="20" orientation="portrait" useFirstPageNumber="1"/>
      <headerFooter alignWithMargins="0">
        <oddFooter>&amp;L&amp;8April 18, 2016 Version&amp;C&amp;P&amp;R&amp;8&amp;A &amp;D</oddFooter>
      </headerFooter>
    </customSheetView>
  </customSheetViews>
  <mergeCells count="901">
    <mergeCell ref="C512:D512"/>
    <mergeCell ref="V505:X505"/>
    <mergeCell ref="O563:P563"/>
    <mergeCell ref="F487:Z487"/>
    <mergeCell ref="K585:P585"/>
    <mergeCell ref="E588:J588"/>
    <mergeCell ref="K588:P588"/>
    <mergeCell ref="AC586:AH586"/>
    <mergeCell ref="U575:V575"/>
    <mergeCell ref="V503:X503"/>
    <mergeCell ref="Q570:R570"/>
    <mergeCell ref="U570:V570"/>
    <mergeCell ref="U572:V572"/>
    <mergeCell ref="AA571:AB571"/>
    <mergeCell ref="W571:X571"/>
    <mergeCell ref="AE571:AF571"/>
    <mergeCell ref="Y575:Z575"/>
    <mergeCell ref="Q583:V583"/>
    <mergeCell ref="S571:T571"/>
    <mergeCell ref="W586:AB586"/>
    <mergeCell ref="W585:AB585"/>
    <mergeCell ref="O576:P576"/>
    <mergeCell ref="O575:P575"/>
    <mergeCell ref="Q575:R575"/>
    <mergeCell ref="AK476:AM476"/>
    <mergeCell ref="AK542:AM542"/>
    <mergeCell ref="W563:X563"/>
    <mergeCell ref="AG546:AJ546"/>
    <mergeCell ref="AA569:AB569"/>
    <mergeCell ref="Y563:Z563"/>
    <mergeCell ref="AC564:AD564"/>
    <mergeCell ref="AC562:AD562"/>
    <mergeCell ref="F510:Z510"/>
    <mergeCell ref="F515:H515"/>
    <mergeCell ref="Y565:Z565"/>
    <mergeCell ref="F508:AE509"/>
    <mergeCell ref="AE563:AF563"/>
    <mergeCell ref="O565:P565"/>
    <mergeCell ref="O564:P564"/>
    <mergeCell ref="Q567:R567"/>
    <mergeCell ref="Q566:R566"/>
    <mergeCell ref="S566:T566"/>
    <mergeCell ref="U564:V564"/>
    <mergeCell ref="O568:P568"/>
    <mergeCell ref="O567:P567"/>
    <mergeCell ref="AA567:AB567"/>
    <mergeCell ref="W568:X568"/>
    <mergeCell ref="S569:T569"/>
    <mergeCell ref="AF198:AL198"/>
    <mergeCell ref="E203:AB205"/>
    <mergeCell ref="E193:AB196"/>
    <mergeCell ref="E212:AB214"/>
    <mergeCell ref="E250:AB251"/>
    <mergeCell ref="AF250:AL250"/>
    <mergeCell ref="W591:AB591"/>
    <mergeCell ref="T609:X609"/>
    <mergeCell ref="W574:X574"/>
    <mergeCell ref="Y568:Z568"/>
    <mergeCell ref="Y609:AC609"/>
    <mergeCell ref="Q584:V584"/>
    <mergeCell ref="W588:AB588"/>
    <mergeCell ref="Q564:R564"/>
    <mergeCell ref="Q569:R569"/>
    <mergeCell ref="U567:V567"/>
    <mergeCell ref="W566:X566"/>
    <mergeCell ref="Q588:V588"/>
    <mergeCell ref="AA573:AB573"/>
    <mergeCell ref="S572:T572"/>
    <mergeCell ref="AC585:AH585"/>
    <mergeCell ref="AC584:AH584"/>
    <mergeCell ref="S565:T565"/>
    <mergeCell ref="Q568:R568"/>
    <mergeCell ref="AK66:AM66"/>
    <mergeCell ref="B80:AK90"/>
    <mergeCell ref="A618:AJ618"/>
    <mergeCell ref="F431:AE433"/>
    <mergeCell ref="F437:AE445"/>
    <mergeCell ref="F449:AE452"/>
    <mergeCell ref="F416:AE419"/>
    <mergeCell ref="C427:D427"/>
    <mergeCell ref="O566:P566"/>
    <mergeCell ref="S564:T564"/>
    <mergeCell ref="Q565:R565"/>
    <mergeCell ref="U565:V565"/>
    <mergeCell ref="O570:P570"/>
    <mergeCell ref="I568:N576"/>
    <mergeCell ref="Q574:R574"/>
    <mergeCell ref="U574:V574"/>
    <mergeCell ref="V499:X499"/>
    <mergeCell ref="F531:AF532"/>
    <mergeCell ref="C489:D489"/>
    <mergeCell ref="F512:AE513"/>
    <mergeCell ref="C485:D485"/>
    <mergeCell ref="AK285:AM285"/>
    <mergeCell ref="E584:J584"/>
    <mergeCell ref="H206:I206"/>
    <mergeCell ref="AQ370:AR370"/>
    <mergeCell ref="AQ383:AR383"/>
    <mergeCell ref="C453:D453"/>
    <mergeCell ref="D502:E502"/>
    <mergeCell ref="F485:AE486"/>
    <mergeCell ref="C413:D413"/>
    <mergeCell ref="AF413:AL413"/>
    <mergeCell ref="C416:D416"/>
    <mergeCell ref="AF427:AL427"/>
    <mergeCell ref="C434:D434"/>
    <mergeCell ref="C425:D425"/>
    <mergeCell ref="C446:D446"/>
    <mergeCell ref="F421:AE424"/>
    <mergeCell ref="V494:X494"/>
    <mergeCell ref="AF457:AL457"/>
    <mergeCell ref="AF461:AL461"/>
    <mergeCell ref="AF411:AL411"/>
    <mergeCell ref="F457:AE459"/>
    <mergeCell ref="U372:W372"/>
    <mergeCell ref="U373:W373"/>
    <mergeCell ref="C391:D391"/>
    <mergeCell ref="C461:D461"/>
    <mergeCell ref="C457:D457"/>
    <mergeCell ref="C381:D381"/>
    <mergeCell ref="AS357:AT357"/>
    <mergeCell ref="AA319:AK319"/>
    <mergeCell ref="AA316:AK316"/>
    <mergeCell ref="H318:R318"/>
    <mergeCell ref="H314:R314"/>
    <mergeCell ref="H311:M311"/>
    <mergeCell ref="AI311:AK311"/>
    <mergeCell ref="H317:R317"/>
    <mergeCell ref="AA314:AK314"/>
    <mergeCell ref="AA313:AK313"/>
    <mergeCell ref="AA331:AK331"/>
    <mergeCell ref="AA328:AK328"/>
    <mergeCell ref="H327:R327"/>
    <mergeCell ref="AI329:AK329"/>
    <mergeCell ref="H330:R330"/>
    <mergeCell ref="H331:R331"/>
    <mergeCell ref="P329:R329"/>
    <mergeCell ref="H328:R328"/>
    <mergeCell ref="H316:R316"/>
    <mergeCell ref="H320:M320"/>
    <mergeCell ref="H323:R323"/>
    <mergeCell ref="AE335:AK335"/>
    <mergeCell ref="C336:AJ343"/>
    <mergeCell ref="C344:AJ348"/>
    <mergeCell ref="B695:S695"/>
    <mergeCell ref="C670:D670"/>
    <mergeCell ref="B683:S683"/>
    <mergeCell ref="E693:S693"/>
    <mergeCell ref="J612:N612"/>
    <mergeCell ref="AK673:AM673"/>
    <mergeCell ref="AK645:AM645"/>
    <mergeCell ref="Y612:AC612"/>
    <mergeCell ref="K591:P591"/>
    <mergeCell ref="O612:S612"/>
    <mergeCell ref="B694:S694"/>
    <mergeCell ref="Y613:AC613"/>
    <mergeCell ref="T695:Y695"/>
    <mergeCell ref="B691:S691"/>
    <mergeCell ref="T689:Y689"/>
    <mergeCell ref="AK618:AM618"/>
    <mergeCell ref="B632:AH643"/>
    <mergeCell ref="B687:S687"/>
    <mergeCell ref="E688:S688"/>
    <mergeCell ref="E689:S689"/>
    <mergeCell ref="B690:S690"/>
    <mergeCell ref="Z686:AE686"/>
    <mergeCell ref="T690:Y690"/>
    <mergeCell ref="T685:Y685"/>
    <mergeCell ref="A697:AE698"/>
    <mergeCell ref="A679:AM679"/>
    <mergeCell ref="J611:N611"/>
    <mergeCell ref="K589:L589"/>
    <mergeCell ref="M589:P589"/>
    <mergeCell ref="E585:J585"/>
    <mergeCell ref="K586:P586"/>
    <mergeCell ref="Q591:V591"/>
    <mergeCell ref="AC587:AH587"/>
    <mergeCell ref="K587:P587"/>
    <mergeCell ref="Q585:V585"/>
    <mergeCell ref="K590:L590"/>
    <mergeCell ref="M590:P590"/>
    <mergeCell ref="E589:J589"/>
    <mergeCell ref="E586:J586"/>
    <mergeCell ref="Q589:V589"/>
    <mergeCell ref="T694:Y694"/>
    <mergeCell ref="T692:Y692"/>
    <mergeCell ref="A696:S696"/>
    <mergeCell ref="E684:S684"/>
    <mergeCell ref="AF681:AK682"/>
    <mergeCell ref="T684:Y684"/>
    <mergeCell ref="E591:J591"/>
    <mergeCell ref="Q590:V590"/>
    <mergeCell ref="BN591:BQ591"/>
    <mergeCell ref="BP589:BQ589"/>
    <mergeCell ref="BP590:BQ590"/>
    <mergeCell ref="BJ589:BK589"/>
    <mergeCell ref="BP588:BQ588"/>
    <mergeCell ref="AX591:BA591"/>
    <mergeCell ref="AP578:AT578"/>
    <mergeCell ref="AP575:AT575"/>
    <mergeCell ref="Q573:R573"/>
    <mergeCell ref="Q576:R576"/>
    <mergeCell ref="S575:T575"/>
    <mergeCell ref="S574:T574"/>
    <mergeCell ref="U573:V573"/>
    <mergeCell ref="S573:T573"/>
    <mergeCell ref="W584:AB584"/>
    <mergeCell ref="Q586:V586"/>
    <mergeCell ref="W587:AB587"/>
    <mergeCell ref="AP587:AT587"/>
    <mergeCell ref="AP588:AT588"/>
    <mergeCell ref="AZ589:BA589"/>
    <mergeCell ref="AP589:AT589"/>
    <mergeCell ref="BH589:BI589"/>
    <mergeCell ref="BF588:BG588"/>
    <mergeCell ref="BF591:BI591"/>
    <mergeCell ref="BM531:BN531"/>
    <mergeCell ref="Y561:Z561"/>
    <mergeCell ref="AC576:AD576"/>
    <mergeCell ref="AU575:AY575"/>
    <mergeCell ref="BE577:BI577"/>
    <mergeCell ref="BM550:BP550"/>
    <mergeCell ref="AU576:AY576"/>
    <mergeCell ref="U562:V562"/>
    <mergeCell ref="AA562:AB562"/>
    <mergeCell ref="W569:X569"/>
    <mergeCell ref="BF567:BJ567"/>
    <mergeCell ref="BJ573:BN573"/>
    <mergeCell ref="AT562:AX562"/>
    <mergeCell ref="B553:AG554"/>
    <mergeCell ref="AA572:AB572"/>
    <mergeCell ref="W572:X572"/>
    <mergeCell ref="Y572:Z572"/>
    <mergeCell ref="AC567:AD567"/>
    <mergeCell ref="S563:T563"/>
    <mergeCell ref="O571:P571"/>
    <mergeCell ref="AC565:AD565"/>
    <mergeCell ref="Q563:R563"/>
    <mergeCell ref="U563:V563"/>
    <mergeCell ref="S562:T562"/>
    <mergeCell ref="CI578:CM578"/>
    <mergeCell ref="BO578:BS578"/>
    <mergeCell ref="CN579:CR579"/>
    <mergeCell ref="AP583:AT583"/>
    <mergeCell ref="AP584:AT584"/>
    <mergeCell ref="AP585:AT585"/>
    <mergeCell ref="AZ579:BD579"/>
    <mergeCell ref="BE579:BI579"/>
    <mergeCell ref="BD584:BE584"/>
    <mergeCell ref="CI579:CM579"/>
    <mergeCell ref="BY579:CC579"/>
    <mergeCell ref="BH585:BI585"/>
    <mergeCell ref="AX585:AY585"/>
    <mergeCell ref="BT579:BX579"/>
    <mergeCell ref="CD579:CH579"/>
    <mergeCell ref="AP579:AT579"/>
    <mergeCell ref="BO579:BS579"/>
    <mergeCell ref="BH584:BI584"/>
    <mergeCell ref="BF585:BG585"/>
    <mergeCell ref="BN585:BO585"/>
    <mergeCell ref="BP585:BQ585"/>
    <mergeCell ref="BF584:BG584"/>
    <mergeCell ref="BJ579:BN579"/>
    <mergeCell ref="AU579:AY579"/>
    <mergeCell ref="CI574:CM574"/>
    <mergeCell ref="BY575:CC575"/>
    <mergeCell ref="CI577:CM577"/>
    <mergeCell ref="CI576:CM576"/>
    <mergeCell ref="CD572:CH572"/>
    <mergeCell ref="CD573:CH573"/>
    <mergeCell ref="CD575:CH575"/>
    <mergeCell ref="BY572:CC572"/>
    <mergeCell ref="BY573:CC573"/>
    <mergeCell ref="BY578:CC578"/>
    <mergeCell ref="CC552:CF552"/>
    <mergeCell ref="BT578:BX578"/>
    <mergeCell ref="BU552:BX552"/>
    <mergeCell ref="AV556:AY556"/>
    <mergeCell ref="AP576:AT576"/>
    <mergeCell ref="CD577:CH577"/>
    <mergeCell ref="BY576:CC576"/>
    <mergeCell ref="BJ578:BN578"/>
    <mergeCell ref="BT574:BX574"/>
    <mergeCell ref="BT575:BX575"/>
    <mergeCell ref="CD578:CH578"/>
    <mergeCell ref="AU573:AY573"/>
    <mergeCell ref="AP574:AT574"/>
    <mergeCell ref="AP577:AT577"/>
    <mergeCell ref="CH552:CK552"/>
    <mergeCell ref="BY552:CB552"/>
    <mergeCell ref="CI572:CM572"/>
    <mergeCell ref="CI573:CM573"/>
    <mergeCell ref="CI575:CM575"/>
    <mergeCell ref="BY577:CC577"/>
    <mergeCell ref="CD574:CH574"/>
    <mergeCell ref="CD576:CH576"/>
    <mergeCell ref="BY574:CC574"/>
    <mergeCell ref="W561:X561"/>
    <mergeCell ref="W562:X562"/>
    <mergeCell ref="S568:T568"/>
    <mergeCell ref="Y566:Z566"/>
    <mergeCell ref="AA570:AB570"/>
    <mergeCell ref="Q571:R571"/>
    <mergeCell ref="Q572:R572"/>
    <mergeCell ref="S561:T561"/>
    <mergeCell ref="BK567:BO567"/>
    <mergeCell ref="Y571:Z571"/>
    <mergeCell ref="U561:V561"/>
    <mergeCell ref="Q562:R562"/>
    <mergeCell ref="AA564:AB564"/>
    <mergeCell ref="AA565:AB565"/>
    <mergeCell ref="Y567:Z567"/>
    <mergeCell ref="S570:T570"/>
    <mergeCell ref="AA568:AB568"/>
    <mergeCell ref="S567:T567"/>
    <mergeCell ref="BE551:BH551"/>
    <mergeCell ref="BE573:BI573"/>
    <mergeCell ref="AP573:AT573"/>
    <mergeCell ref="BK570:BO571"/>
    <mergeCell ref="AE561:AF561"/>
    <mergeCell ref="AE562:AF562"/>
    <mergeCell ref="AC561:AD561"/>
    <mergeCell ref="AU551:AW551"/>
    <mergeCell ref="AW564:AY564"/>
    <mergeCell ref="AE567:AF567"/>
    <mergeCell ref="AE566:AF566"/>
    <mergeCell ref="AC572:AD572"/>
    <mergeCell ref="AC570:AD570"/>
    <mergeCell ref="B555:AF556"/>
    <mergeCell ref="BO572:BS572"/>
    <mergeCell ref="Y562:Z562"/>
    <mergeCell ref="Q561:R561"/>
    <mergeCell ref="AA561:AB561"/>
    <mergeCell ref="AE568:AF568"/>
    <mergeCell ref="AE569:AF569"/>
    <mergeCell ref="AE570:AF570"/>
    <mergeCell ref="BQ551:BT551"/>
    <mergeCell ref="O572:P572"/>
    <mergeCell ref="AZ573:BD573"/>
    <mergeCell ref="CG539:CJ539"/>
    <mergeCell ref="CH548:CK548"/>
    <mergeCell ref="CH549:CK549"/>
    <mergeCell ref="CH550:CK550"/>
    <mergeCell ref="CH551:CK551"/>
    <mergeCell ref="CH543:CK547"/>
    <mergeCell ref="BY546:CB546"/>
    <mergeCell ref="BY550:CB550"/>
    <mergeCell ref="BY547:CB547"/>
    <mergeCell ref="BY548:CB548"/>
    <mergeCell ref="BY549:CB549"/>
    <mergeCell ref="BY551:CB551"/>
    <mergeCell ref="CC537:CF537"/>
    <mergeCell ref="CC539:CF539"/>
    <mergeCell ref="BU537:BX537"/>
    <mergeCell ref="BQ539:BT539"/>
    <mergeCell ref="CC535:CF535"/>
    <mergeCell ref="BQ536:BT536"/>
    <mergeCell ref="BU539:BX539"/>
    <mergeCell ref="CC536:CF536"/>
    <mergeCell ref="CE533:CF533"/>
    <mergeCell ref="CC538:CF538"/>
    <mergeCell ref="BS533:BT533"/>
    <mergeCell ref="BY539:CB539"/>
    <mergeCell ref="BU536:BX536"/>
    <mergeCell ref="BY536:CB536"/>
    <mergeCell ref="BU533:BV533"/>
    <mergeCell ref="BY535:CB535"/>
    <mergeCell ref="BU535:BX535"/>
    <mergeCell ref="BY537:CB537"/>
    <mergeCell ref="BY538:CB538"/>
    <mergeCell ref="BQ535:BT535"/>
    <mergeCell ref="BQ534:BT534"/>
    <mergeCell ref="BQ533:BR533"/>
    <mergeCell ref="CC530:CD530"/>
    <mergeCell ref="CA531:CB531"/>
    <mergeCell ref="BY533:BZ533"/>
    <mergeCell ref="CA533:CB533"/>
    <mergeCell ref="CC533:CD533"/>
    <mergeCell ref="CC534:CF534"/>
    <mergeCell ref="CE531:CF531"/>
    <mergeCell ref="BW531:BX531"/>
    <mergeCell ref="CE530:CF530"/>
    <mergeCell ref="BY531:BZ531"/>
    <mergeCell ref="CC531:CD531"/>
    <mergeCell ref="BW532:BX532"/>
    <mergeCell ref="CA532:CB532"/>
    <mergeCell ref="CC532:CD532"/>
    <mergeCell ref="CE532:CF532"/>
    <mergeCell ref="BU534:BX534"/>
    <mergeCell ref="BY534:CB534"/>
    <mergeCell ref="BQ530:BR530"/>
    <mergeCell ref="BS530:BT530"/>
    <mergeCell ref="BI552:BL552"/>
    <mergeCell ref="CA530:CB530"/>
    <mergeCell ref="BQ537:BT537"/>
    <mergeCell ref="BM538:BP538"/>
    <mergeCell ref="BU538:BX538"/>
    <mergeCell ref="BQ538:BT538"/>
    <mergeCell ref="BO533:BP533"/>
    <mergeCell ref="BO530:BP530"/>
    <mergeCell ref="BO531:BP531"/>
    <mergeCell ref="BQ532:BR532"/>
    <mergeCell ref="BU532:BV532"/>
    <mergeCell ref="BW533:BX533"/>
    <mergeCell ref="BU530:BV530"/>
    <mergeCell ref="BM536:BP536"/>
    <mergeCell ref="BM549:BP549"/>
    <mergeCell ref="BW530:BX530"/>
    <mergeCell ref="BY530:BZ530"/>
    <mergeCell ref="BY532:BZ532"/>
    <mergeCell ref="BU531:BV531"/>
    <mergeCell ref="BS531:BT531"/>
    <mergeCell ref="BS532:BT532"/>
    <mergeCell ref="BQ531:BR531"/>
    <mergeCell ref="BJ591:BM591"/>
    <mergeCell ref="BB588:BC588"/>
    <mergeCell ref="BB589:BC589"/>
    <mergeCell ref="BB591:BE591"/>
    <mergeCell ref="BD590:BE590"/>
    <mergeCell ref="BF587:BG587"/>
    <mergeCell ref="AX590:AY590"/>
    <mergeCell ref="AZ590:BA590"/>
    <mergeCell ref="BL589:BM589"/>
    <mergeCell ref="BL588:BM588"/>
    <mergeCell ref="BJ588:BK588"/>
    <mergeCell ref="BB587:BC587"/>
    <mergeCell ref="AX588:AY588"/>
    <mergeCell ref="BJ590:BK590"/>
    <mergeCell ref="BL587:BM587"/>
    <mergeCell ref="BL590:BM590"/>
    <mergeCell ref="BH588:BI588"/>
    <mergeCell ref="BJ587:BK587"/>
    <mergeCell ref="BH587:BI587"/>
    <mergeCell ref="BH590:BI590"/>
    <mergeCell ref="BN590:BO590"/>
    <mergeCell ref="AU574:AY574"/>
    <mergeCell ref="AU577:AY577"/>
    <mergeCell ref="AU578:AY578"/>
    <mergeCell ref="AZ574:BD574"/>
    <mergeCell ref="BN589:BO589"/>
    <mergeCell ref="BN588:BO588"/>
    <mergeCell ref="AZ576:BD576"/>
    <mergeCell ref="AZ577:BD577"/>
    <mergeCell ref="BJ576:BN576"/>
    <mergeCell ref="AX583:BQ583"/>
    <mergeCell ref="BJ574:BN574"/>
    <mergeCell ref="BP587:BQ587"/>
    <mergeCell ref="BN587:BO587"/>
    <mergeCell ref="BJ575:BN575"/>
    <mergeCell ref="BB590:BC590"/>
    <mergeCell ref="AX587:AY587"/>
    <mergeCell ref="AZ587:BA587"/>
    <mergeCell ref="BB585:BC585"/>
    <mergeCell ref="BB586:BC586"/>
    <mergeCell ref="BF586:BG586"/>
    <mergeCell ref="BD587:BE587"/>
    <mergeCell ref="BF590:BG590"/>
    <mergeCell ref="BF589:BG589"/>
    <mergeCell ref="AZ575:BD575"/>
    <mergeCell ref="AZ578:BD578"/>
    <mergeCell ref="AZ586:BA586"/>
    <mergeCell ref="AZ588:BA588"/>
    <mergeCell ref="BE578:BI578"/>
    <mergeCell ref="AX589:AY589"/>
    <mergeCell ref="AZ585:BA585"/>
    <mergeCell ref="BD586:BE586"/>
    <mergeCell ref="BD589:BE589"/>
    <mergeCell ref="BD585:BE585"/>
    <mergeCell ref="BD588:BE588"/>
    <mergeCell ref="AX586:AY586"/>
    <mergeCell ref="BB584:BC584"/>
    <mergeCell ref="BQ550:BT550"/>
    <mergeCell ref="BO575:BS575"/>
    <mergeCell ref="BT573:BX573"/>
    <mergeCell ref="BI550:BL550"/>
    <mergeCell ref="BH586:BI586"/>
    <mergeCell ref="BT577:BX577"/>
    <mergeCell ref="BI551:BL551"/>
    <mergeCell ref="BP586:BQ586"/>
    <mergeCell ref="BL585:BM585"/>
    <mergeCell ref="BJ585:BK585"/>
    <mergeCell ref="BN586:BO586"/>
    <mergeCell ref="BO577:BS577"/>
    <mergeCell ref="BJ584:BK584"/>
    <mergeCell ref="BL584:BM584"/>
    <mergeCell ref="BP584:BQ584"/>
    <mergeCell ref="BN584:BO584"/>
    <mergeCell ref="BL586:BM586"/>
    <mergeCell ref="BJ586:BK586"/>
    <mergeCell ref="BJ577:BN577"/>
    <mergeCell ref="BU550:BX550"/>
    <mergeCell ref="BT572:BX572"/>
    <mergeCell ref="BQ552:BT552"/>
    <mergeCell ref="BU551:BX551"/>
    <mergeCell ref="BM552:BP552"/>
    <mergeCell ref="BQ546:BT546"/>
    <mergeCell ref="BT576:BX576"/>
    <mergeCell ref="BE550:BH550"/>
    <mergeCell ref="BM551:BP551"/>
    <mergeCell ref="BE552:BH552"/>
    <mergeCell ref="BO573:BS573"/>
    <mergeCell ref="BO574:BS574"/>
    <mergeCell ref="BE575:BI575"/>
    <mergeCell ref="BE574:BI574"/>
    <mergeCell ref="BO576:BS576"/>
    <mergeCell ref="BE576:BI576"/>
    <mergeCell ref="BJ572:BN572"/>
    <mergeCell ref="BU548:BX548"/>
    <mergeCell ref="BU546:BX546"/>
    <mergeCell ref="BQ547:BT547"/>
    <mergeCell ref="BQ548:BT548"/>
    <mergeCell ref="BU547:BX547"/>
    <mergeCell ref="BU549:BX549"/>
    <mergeCell ref="BQ549:BT549"/>
    <mergeCell ref="BE548:BH548"/>
    <mergeCell ref="BI547:BL547"/>
    <mergeCell ref="BM547:BP547"/>
    <mergeCell ref="BA567:BE567"/>
    <mergeCell ref="AP570:BJ571"/>
    <mergeCell ref="AK73:AM73"/>
    <mergeCell ref="E125:AG128"/>
    <mergeCell ref="H123:AE123"/>
    <mergeCell ref="AE4:AK4"/>
    <mergeCell ref="B8:AC8"/>
    <mergeCell ref="AF215:AL215"/>
    <mergeCell ref="H218:I218"/>
    <mergeCell ref="E224:AB225"/>
    <mergeCell ref="AJ220:AK220"/>
    <mergeCell ref="B49:AK55"/>
    <mergeCell ref="AF6:AL6"/>
    <mergeCell ref="T72:AC72"/>
    <mergeCell ref="C35:AD35"/>
    <mergeCell ref="AJ47:AK47"/>
    <mergeCell ref="AF71:AL71"/>
    <mergeCell ref="AJ31:AK31"/>
    <mergeCell ref="B57:AK60"/>
    <mergeCell ref="B62:AK64"/>
    <mergeCell ref="AF151:AL151"/>
    <mergeCell ref="B72:S72"/>
    <mergeCell ref="AC37:AD37"/>
    <mergeCell ref="C45:AD45"/>
    <mergeCell ref="AJ129:AK129"/>
    <mergeCell ref="B20:AK30"/>
    <mergeCell ref="AJ144:AK144"/>
    <mergeCell ref="H117:I117"/>
    <mergeCell ref="H142:I142"/>
    <mergeCell ref="AF95:AL95"/>
    <mergeCell ref="AF100:AL100"/>
    <mergeCell ref="AF105:AL105"/>
    <mergeCell ref="E133:AD137"/>
    <mergeCell ref="AF140:AL140"/>
    <mergeCell ref="AF110:AL110"/>
    <mergeCell ref="E590:J590"/>
    <mergeCell ref="U568:V568"/>
    <mergeCell ref="W567:X567"/>
    <mergeCell ref="AA576:AB576"/>
    <mergeCell ref="Y569:Z569"/>
    <mergeCell ref="AA566:AB566"/>
    <mergeCell ref="AC568:AD568"/>
    <mergeCell ref="AC566:AD566"/>
    <mergeCell ref="AC569:AD569"/>
    <mergeCell ref="AC571:AD571"/>
    <mergeCell ref="AC574:AD574"/>
    <mergeCell ref="U569:V569"/>
    <mergeCell ref="W575:X575"/>
    <mergeCell ref="AC573:AD573"/>
    <mergeCell ref="U571:V571"/>
    <mergeCell ref="E587:J587"/>
    <mergeCell ref="O569:P569"/>
    <mergeCell ref="Y570:Z570"/>
    <mergeCell ref="O573:P573"/>
    <mergeCell ref="O574:P574"/>
    <mergeCell ref="K584:P584"/>
    <mergeCell ref="W576:X576"/>
    <mergeCell ref="U566:V566"/>
    <mergeCell ref="Q559:AF560"/>
    <mergeCell ref="H154:I154"/>
    <mergeCell ref="E184:AC185"/>
    <mergeCell ref="AF184:AL184"/>
    <mergeCell ref="AF161:AL161"/>
    <mergeCell ref="AF181:AL181"/>
    <mergeCell ref="E198:AB201"/>
    <mergeCell ref="AF173:AL173"/>
    <mergeCell ref="E253:AB254"/>
    <mergeCell ref="H244:I244"/>
    <mergeCell ref="H230:I230"/>
    <mergeCell ref="AF240:AL240"/>
    <mergeCell ref="AJ232:AK232"/>
    <mergeCell ref="AE170:AK170"/>
    <mergeCell ref="AF165:AL165"/>
    <mergeCell ref="E177:AC179"/>
    <mergeCell ref="E215:AB217"/>
    <mergeCell ref="AF224:AL224"/>
    <mergeCell ref="AF227:AL227"/>
    <mergeCell ref="P293:R293"/>
    <mergeCell ref="E181:AC182"/>
    <mergeCell ref="AJ283:AK283"/>
    <mergeCell ref="H187:I187"/>
    <mergeCell ref="H293:M293"/>
    <mergeCell ref="A1:AM2"/>
    <mergeCell ref="AF212:AL212"/>
    <mergeCell ref="AF193:AL193"/>
    <mergeCell ref="AJ189:AK189"/>
    <mergeCell ref="B71:K71"/>
    <mergeCell ref="E161:AC163"/>
    <mergeCell ref="E165:AC167"/>
    <mergeCell ref="E169:AC171"/>
    <mergeCell ref="B125:C125"/>
    <mergeCell ref="C40:AD40"/>
    <mergeCell ref="B11:AI11"/>
    <mergeCell ref="B16:AJ16"/>
    <mergeCell ref="AB13:AC13"/>
    <mergeCell ref="AF33:AL33"/>
    <mergeCell ref="AF114:AL114"/>
    <mergeCell ref="AF177:AL177"/>
    <mergeCell ref="AJ156:AK156"/>
    <mergeCell ref="E173:AC175"/>
    <mergeCell ref="AF169:AL169"/>
    <mergeCell ref="S138:T138"/>
    <mergeCell ref="AF133:AL133"/>
    <mergeCell ref="AF148:AL148"/>
    <mergeCell ref="AE78:AK78"/>
    <mergeCell ref="AE69:AK69"/>
    <mergeCell ref="BJ592:BM592"/>
    <mergeCell ref="AF690:AK690"/>
    <mergeCell ref="AF692:AK692"/>
    <mergeCell ref="AF683:AK683"/>
    <mergeCell ref="A676:AM677"/>
    <mergeCell ref="J607:N607"/>
    <mergeCell ref="AF685:AK685"/>
    <mergeCell ref="E692:S692"/>
    <mergeCell ref="J608:N608"/>
    <mergeCell ref="Z684:AE684"/>
    <mergeCell ref="T683:Y683"/>
    <mergeCell ref="AF689:AK689"/>
    <mergeCell ref="AF688:AK688"/>
    <mergeCell ref="AF686:AK686"/>
    <mergeCell ref="AF687:AK687"/>
    <mergeCell ref="T688:Y688"/>
    <mergeCell ref="Z685:AE685"/>
    <mergeCell ref="B686:S686"/>
    <mergeCell ref="Z689:AE689"/>
    <mergeCell ref="Z690:AE690"/>
    <mergeCell ref="T611:X611"/>
    <mergeCell ref="Z687:AE687"/>
    <mergeCell ref="Z683:AE683"/>
    <mergeCell ref="T687:Y687"/>
    <mergeCell ref="AF697:AK698"/>
    <mergeCell ref="AY543:AZ543"/>
    <mergeCell ref="AS544:AU544"/>
    <mergeCell ref="AX584:AY584"/>
    <mergeCell ref="AZ584:BA584"/>
    <mergeCell ref="AC588:AH588"/>
    <mergeCell ref="AC589:AH589"/>
    <mergeCell ref="AJ616:AK616"/>
    <mergeCell ref="AF684:AK684"/>
    <mergeCell ref="AC590:AH590"/>
    <mergeCell ref="AF696:AK696"/>
    <mergeCell ref="AF695:AK695"/>
    <mergeCell ref="AF693:AK693"/>
    <mergeCell ref="Z693:AE693"/>
    <mergeCell ref="AG595:AJ595"/>
    <mergeCell ref="Y607:AC607"/>
    <mergeCell ref="W590:AB590"/>
    <mergeCell ref="AC591:AH591"/>
    <mergeCell ref="AE572:AF572"/>
    <mergeCell ref="Z695:AE695"/>
    <mergeCell ref="Z694:AE694"/>
    <mergeCell ref="T693:Y693"/>
    <mergeCell ref="T691:Y691"/>
    <mergeCell ref="Z691:AE691"/>
    <mergeCell ref="T686:Y686"/>
    <mergeCell ref="T681:Y682"/>
    <mergeCell ref="C629:D629"/>
    <mergeCell ref="C665:D665"/>
    <mergeCell ref="C659:D659"/>
    <mergeCell ref="C626:D626"/>
    <mergeCell ref="C655:D655"/>
    <mergeCell ref="C650:D650"/>
    <mergeCell ref="F629:AD630"/>
    <mergeCell ref="Z688:AE688"/>
    <mergeCell ref="E685:S685"/>
    <mergeCell ref="AF694:AK694"/>
    <mergeCell ref="T696:Y696"/>
    <mergeCell ref="Z696:AE696"/>
    <mergeCell ref="AC575:AD575"/>
    <mergeCell ref="Y576:Z576"/>
    <mergeCell ref="T613:X613"/>
    <mergeCell ref="J613:N613"/>
    <mergeCell ref="O613:S613"/>
    <mergeCell ref="T603:X606"/>
    <mergeCell ref="Y603:AC606"/>
    <mergeCell ref="O603:S606"/>
    <mergeCell ref="Y608:AC608"/>
    <mergeCell ref="B596:AH601"/>
    <mergeCell ref="B622:AH623"/>
    <mergeCell ref="A616:AI616"/>
    <mergeCell ref="J609:N609"/>
    <mergeCell ref="J610:N610"/>
    <mergeCell ref="T612:X612"/>
    <mergeCell ref="AG626:AJ626"/>
    <mergeCell ref="AG629:AJ629"/>
    <mergeCell ref="F626:AD627"/>
    <mergeCell ref="AF691:AK691"/>
    <mergeCell ref="Z692:AE692"/>
    <mergeCell ref="Z681:AE682"/>
    <mergeCell ref="AP550:AT550"/>
    <mergeCell ref="U576:V576"/>
    <mergeCell ref="AE565:AF565"/>
    <mergeCell ref="W570:X570"/>
    <mergeCell ref="Y611:AC611"/>
    <mergeCell ref="E577:AH578"/>
    <mergeCell ref="Y573:Z573"/>
    <mergeCell ref="Q587:V587"/>
    <mergeCell ref="O608:S608"/>
    <mergeCell ref="T608:X608"/>
    <mergeCell ref="J603:N606"/>
    <mergeCell ref="O607:S607"/>
    <mergeCell ref="T607:X607"/>
    <mergeCell ref="O610:S610"/>
    <mergeCell ref="E592:J592"/>
    <mergeCell ref="W589:AB589"/>
    <mergeCell ref="Y610:AC610"/>
    <mergeCell ref="O609:S609"/>
    <mergeCell ref="O611:S611"/>
    <mergeCell ref="AC592:AH592"/>
    <mergeCell ref="T610:X610"/>
    <mergeCell ref="AP586:AT586"/>
    <mergeCell ref="E266:AD269"/>
    <mergeCell ref="H281:I281"/>
    <mergeCell ref="E277:AD279"/>
    <mergeCell ref="AJ208:AK208"/>
    <mergeCell ref="AI293:AK293"/>
    <mergeCell ref="AJ246:AK246"/>
    <mergeCell ref="AJ273:AK273"/>
    <mergeCell ref="E236:AB238"/>
    <mergeCell ref="AF253:AL253"/>
    <mergeCell ref="E227:AB228"/>
    <mergeCell ref="E240:AA242"/>
    <mergeCell ref="AF236:AL236"/>
    <mergeCell ref="E262:AD264"/>
    <mergeCell ref="AA293:AF293"/>
    <mergeCell ref="H256:I256"/>
    <mergeCell ref="AJ258:AK258"/>
    <mergeCell ref="H271:I271"/>
    <mergeCell ref="AF266:AL266"/>
    <mergeCell ref="AO194:AP194"/>
    <mergeCell ref="BJ529:BK529"/>
    <mergeCell ref="BJ530:BK530"/>
    <mergeCell ref="AP536:AT536"/>
    <mergeCell ref="AU534:AY534"/>
    <mergeCell ref="AU536:AY536"/>
    <mergeCell ref="AP535:AT535"/>
    <mergeCell ref="AA311:AF311"/>
    <mergeCell ref="AU535:AY535"/>
    <mergeCell ref="AP534:AT534"/>
    <mergeCell ref="AF425:AL425"/>
    <mergeCell ref="AA327:AK327"/>
    <mergeCell ref="AA302:AF302"/>
    <mergeCell ref="AI302:AK302"/>
    <mergeCell ref="AA295:AK295"/>
    <mergeCell ref="AF434:AL434"/>
    <mergeCell ref="AF446:AL446"/>
    <mergeCell ref="AF453:AL453"/>
    <mergeCell ref="AA330:AK330"/>
    <mergeCell ref="AP509:AR523"/>
    <mergeCell ref="BD526:BE526"/>
    <mergeCell ref="AF393:AL393"/>
    <mergeCell ref="AF391:AL391"/>
    <mergeCell ref="C368:AJ370"/>
    <mergeCell ref="BM530:BN530"/>
    <mergeCell ref="AP539:AT539"/>
    <mergeCell ref="AP220:AQ220"/>
    <mergeCell ref="BE509:BG523"/>
    <mergeCell ref="AF262:AL262"/>
    <mergeCell ref="AA325:AK325"/>
    <mergeCell ref="AF277:AL277"/>
    <mergeCell ref="AA312:AK312"/>
    <mergeCell ref="AA305:AK305"/>
    <mergeCell ref="AA307:AK307"/>
    <mergeCell ref="AA309:AK309"/>
    <mergeCell ref="AA308:AK308"/>
    <mergeCell ref="AA326:AK326"/>
    <mergeCell ref="AA323:AK323"/>
    <mergeCell ref="AS359:AT359"/>
    <mergeCell ref="F377:AF380"/>
    <mergeCell ref="F386:AF390"/>
    <mergeCell ref="F396:AF400"/>
    <mergeCell ref="F407:AF410"/>
    <mergeCell ref="AF381:AL381"/>
    <mergeCell ref="AF401:AL401"/>
    <mergeCell ref="C349:AJ351"/>
    <mergeCell ref="C352:AJ360"/>
    <mergeCell ref="C361:AJ367"/>
    <mergeCell ref="AP537:AT537"/>
    <mergeCell ref="BM534:BP534"/>
    <mergeCell ref="BO532:BP532"/>
    <mergeCell ref="BE549:BH549"/>
    <mergeCell ref="BM546:BP546"/>
    <mergeCell ref="BM548:BP548"/>
    <mergeCell ref="BM532:BN532"/>
    <mergeCell ref="BE547:BH547"/>
    <mergeCell ref="BM533:BN533"/>
    <mergeCell ref="BI549:BL549"/>
    <mergeCell ref="BI546:BL546"/>
    <mergeCell ref="BE546:BH546"/>
    <mergeCell ref="BM535:BP535"/>
    <mergeCell ref="BM537:BP537"/>
    <mergeCell ref="BM539:BP539"/>
    <mergeCell ref="AU539:AY539"/>
    <mergeCell ref="AU548:AV548"/>
    <mergeCell ref="AP538:AT538"/>
    <mergeCell ref="AU537:AY537"/>
    <mergeCell ref="AU538:AY538"/>
    <mergeCell ref="BI548:BL548"/>
    <mergeCell ref="H332:R332"/>
    <mergeCell ref="H296:R296"/>
    <mergeCell ref="AA329:AF329"/>
    <mergeCell ref="AA332:AK332"/>
    <mergeCell ref="H329:M329"/>
    <mergeCell ref="H303:R303"/>
    <mergeCell ref="AA296:AK296"/>
    <mergeCell ref="BJ528:BK528"/>
    <mergeCell ref="BD527:BE527"/>
    <mergeCell ref="BJ506:BP507"/>
    <mergeCell ref="AU506:BA507"/>
    <mergeCell ref="H319:R319"/>
    <mergeCell ref="H326:R326"/>
    <mergeCell ref="AA303:AK303"/>
    <mergeCell ref="AA304:AK304"/>
    <mergeCell ref="AA322:AK322"/>
    <mergeCell ref="AA317:AK317"/>
    <mergeCell ref="AA320:AF320"/>
    <mergeCell ref="AA310:AK310"/>
    <mergeCell ref="AF417:AL417"/>
    <mergeCell ref="AE479:AK479"/>
    <mergeCell ref="AF403:AL403"/>
    <mergeCell ref="H325:R325"/>
    <mergeCell ref="H313:R313"/>
    <mergeCell ref="C393:D393"/>
    <mergeCell ref="C411:D411"/>
    <mergeCell ref="AE564:AF564"/>
    <mergeCell ref="C470:D470"/>
    <mergeCell ref="C508:D508"/>
    <mergeCell ref="C530:D530"/>
    <mergeCell ref="C403:D403"/>
    <mergeCell ref="B547:AG552"/>
    <mergeCell ref="C401:D401"/>
    <mergeCell ref="Y564:Z564"/>
    <mergeCell ref="C517:D517"/>
    <mergeCell ref="G520:AF520"/>
    <mergeCell ref="C522:D522"/>
    <mergeCell ref="C526:D526"/>
    <mergeCell ref="G526:AF527"/>
    <mergeCell ref="C519:D519"/>
    <mergeCell ref="AF470:AL470"/>
    <mergeCell ref="V492:X492"/>
    <mergeCell ref="O562:P562"/>
    <mergeCell ref="F466:AF469"/>
    <mergeCell ref="F461:AE464"/>
    <mergeCell ref="AE545:AK545"/>
    <mergeCell ref="AA563:AB563"/>
    <mergeCell ref="AC563:AD563"/>
    <mergeCell ref="H321:R321"/>
    <mergeCell ref="AA321:AK321"/>
    <mergeCell ref="H312:R312"/>
    <mergeCell ref="H304:R304"/>
    <mergeCell ref="H302:M302"/>
    <mergeCell ref="P302:R302"/>
    <mergeCell ref="H305:R305"/>
    <mergeCell ref="H294:R294"/>
    <mergeCell ref="H295:R295"/>
    <mergeCell ref="P311:R311"/>
    <mergeCell ref="AI320:AK320"/>
    <mergeCell ref="AA318:AK318"/>
    <mergeCell ref="P320:R320"/>
    <mergeCell ref="AA294:AK294"/>
    <mergeCell ref="H322:R322"/>
    <mergeCell ref="A699:AM704"/>
    <mergeCell ref="S576:T576"/>
    <mergeCell ref="AA575:AB575"/>
    <mergeCell ref="Y574:Z574"/>
    <mergeCell ref="AA574:AB574"/>
    <mergeCell ref="W565:X565"/>
    <mergeCell ref="W564:X564"/>
    <mergeCell ref="W573:X573"/>
    <mergeCell ref="AE573:AF573"/>
    <mergeCell ref="AE574:AF574"/>
    <mergeCell ref="AE575:AF575"/>
    <mergeCell ref="AE576:AF576"/>
    <mergeCell ref="A680:AM680"/>
    <mergeCell ref="E583:J583"/>
    <mergeCell ref="K583:P583"/>
    <mergeCell ref="E579:J582"/>
    <mergeCell ref="K579:P582"/>
    <mergeCell ref="Q579:V582"/>
    <mergeCell ref="W579:AB582"/>
    <mergeCell ref="AC579:AH582"/>
    <mergeCell ref="W583:AB583"/>
    <mergeCell ref="AC583:AH583"/>
    <mergeCell ref="C663:D663"/>
  </mergeCells>
  <phoneticPr fontId="0" type="noConversion"/>
  <conditionalFormatting sqref="AG694:AK694 AG696:AL696 T683:AK683 AG686:AK686 AG690:AK690 AF684:AF697 T684:AE696 AJ616 AQ459:AQ461 AN459:AN463 AP458 W583:W591 AC583:AC593 AF687:AK687">
    <cfRule type="expression" dxfId="4" priority="2" stopIfTrue="1">
      <formula>ISERROR(T458)</formula>
    </cfRule>
  </conditionalFormatting>
  <conditionalFormatting sqref="AP478">
    <cfRule type="expression" dxfId="3" priority="1" stopIfTrue="1">
      <formula>ISERROR(AP478)</formula>
    </cfRule>
  </conditionalFormatting>
  <dataValidations count="30">
    <dataValidation type="list" allowBlank="1" showInputMessage="1" showErrorMessage="1" sqref="C629:D629 C665:D665 C663:D663 C659:D659 C655:D655 C626:D626 C650:D650 C530:D530 C453:D453 C522:D522 S138:T138 C470:D470 C403:D403 C517:D517 C461:D461 C489:D489 C526:D526 C512:D512 C485:D485 C457:D457 C446:D446 C434:D434 C425:D425 C401:D401 C508:D508 C381:D381 C670:D670 C391:D391 C427:D427 C416:D416 C413:D413 C411:D411">
      <formula1>"N/A, Yes"</formula1>
    </dataValidation>
    <dataValidation type="whole" allowBlank="1" showInputMessage="1" showErrorMessage="1" error="Please enter whole numbers only" sqref="E583:E591">
      <formula1>0</formula1>
      <formula2>100000000</formula2>
    </dataValidation>
    <dataValidation type="list" allowBlank="1" showInputMessage="1" showErrorMessage="1" sqref="G520:AF520">
      <formula1>$AO$495:$AO$498</formula1>
    </dataValidation>
    <dataValidation type="list" allowBlank="1" showInputMessage="1" showErrorMessage="1" sqref="H256:I256 H142:I142 H154:I154 H206:I206 H218:I218 H230:I230 H244:I244">
      <formula1>$AO$101:$AO$103</formula1>
    </dataValidation>
    <dataValidation type="list" allowBlank="1" showInputMessage="1" showErrorMessage="1" sqref="H271:I271">
      <formula1>$AP$216:$AP$218</formula1>
    </dataValidation>
    <dataValidation type="list" showInputMessage="1" showErrorMessage="1" sqref="AA303:AK303 H303:R303 AA312:AK312 H312:R312 AA321:AK321 H321:R321 AA330:AK330 H330:R330 H294:R294 AA294:AK294">
      <formula1>$AP$205:$AP$215</formula1>
    </dataValidation>
    <dataValidation type="list" allowBlank="1" showInputMessage="1" showErrorMessage="1" sqref="H187:I187">
      <formula1>$AO$137:$AO$144</formula1>
    </dataValidation>
    <dataValidation type="list" allowBlank="1" showInputMessage="1" showErrorMessage="1" sqref="H154:I154">
      <formula1>$AO$101:$AO$102</formula1>
    </dataValidation>
    <dataValidation type="list" showInputMessage="1" showErrorMessage="1" sqref="B125:C125">
      <formula1>$AP$91:$AP$92</formula1>
    </dataValidation>
    <dataValidation type="list" allowBlank="1" showInputMessage="1" showErrorMessage="1" sqref="AB13:AC13 AC37:AD37">
      <formula1>"N/A,Yes,"</formula1>
    </dataValidation>
    <dataValidation type="list" allowBlank="1" showInputMessage="1" showErrorMessage="1" sqref="B16">
      <formula1>$AO$14:$AO$16</formula1>
    </dataValidation>
    <dataValidation type="list" allowBlank="1" showInputMessage="1" showErrorMessage="1" sqref="C40:AD40">
      <formula1>$AO$35:$AO$37</formula1>
    </dataValidation>
    <dataValidation type="list" allowBlank="1" showInputMessage="1" showErrorMessage="1" sqref="C36:AD36">
      <formula1>$AO$29:$AO$34</formula1>
    </dataValidation>
    <dataValidation type="list" allowBlank="1" showInputMessage="1" showErrorMessage="1" sqref="B11">
      <formula1>$AO$9:$AO$11</formula1>
    </dataValidation>
    <dataValidation type="list" allowBlank="1" showInputMessage="1" showErrorMessage="1" sqref="V494:X494">
      <formula1>$AO$468:$AO$470</formula1>
    </dataValidation>
    <dataValidation type="list" allowBlank="1" showInputMessage="1" showErrorMessage="1" sqref="V503:X503">
      <formula1>$AW$468:$AW$471</formula1>
    </dataValidation>
    <dataValidation type="list" allowBlank="1" showInputMessage="1" showErrorMessage="1" sqref="V505:X505">
      <formula1>$BA$468:$BA$470</formula1>
    </dataValidation>
    <dataValidation type="list" allowBlank="1" showInputMessage="1" showErrorMessage="1" sqref="H117:I121">
      <formula1>$AO$101:$AO$106</formula1>
    </dataValidation>
    <dataValidation type="list" allowBlank="1" showInputMessage="1" showErrorMessage="1" sqref="H123:AE123">
      <formula1>$AO$121:$AO$123</formula1>
    </dataValidation>
    <dataValidation type="list" showInputMessage="1" showErrorMessage="1" sqref="T72:AC72">
      <formula1>$AP$71:$AP$73</formula1>
    </dataValidation>
    <dataValidation type="list" allowBlank="1" showInputMessage="1" showErrorMessage="1" sqref="F487:Z487">
      <formula1>$AO$458:$AO$466</formula1>
    </dataValidation>
    <dataValidation type="list" allowBlank="1" showInputMessage="1" showErrorMessage="1" sqref="F510:Z510">
      <formula1>$AO$478:$AO$486</formula1>
    </dataValidation>
    <dataValidation type="list" allowBlank="1" showInputMessage="1" showErrorMessage="1" sqref="F515:H515">
      <formula1>$AO$488:$AO$490</formula1>
    </dataValidation>
    <dataValidation type="list" allowBlank="1" showInputMessage="1" showErrorMessage="1" sqref="V499:X499">
      <formula1>$AO$472:$AO$474</formula1>
    </dataValidation>
    <dataValidation type="whole" allowBlank="1" showInputMessage="1" showErrorMessage="1" sqref="AJ616:AK616">
      <formula1>0</formula1>
      <formula2>2</formula2>
    </dataValidation>
    <dataValidation type="list" allowBlank="1" showInputMessage="1" showErrorMessage="1" sqref="F531">
      <formula1>$AO$501:$AO$504</formula1>
    </dataValidation>
    <dataValidation type="list" allowBlank="1" showInputMessage="1" showErrorMessage="1" sqref="H281:I281">
      <formula1>$AO$276:$AO$277</formula1>
    </dataValidation>
    <dataValidation type="list" allowBlank="1" showInputMessage="1" showErrorMessage="1" sqref="V492:X492">
      <formula1>$AR$468:$AR$470</formula1>
    </dataValidation>
    <dataValidation type="list" showInputMessage="1" showErrorMessage="1" sqref="B71:K71">
      <formula1>$AP$45:$AP$50</formula1>
    </dataValidation>
    <dataValidation type="list" allowBlank="1" showInputMessage="1" showErrorMessage="1" sqref="C35:AD35">
      <formula1>$AO$29:$AO$31</formula1>
    </dataValidation>
  </dataValidations>
  <printOptions horizontalCentered="1"/>
  <pageMargins left="0.5" right="0.5" top="0.75" bottom="0.75" header="0.5" footer="0.5"/>
  <pageSetup scale="82" firstPageNumber="26" fitToHeight="20" orientation="portrait" useFirstPageNumber="1"/>
  <headerFooter alignWithMargins="0">
    <oddFooter>&amp;C&amp;P&amp;R&amp;8&amp;A</oddFooter>
  </headerFooter>
  <rowBreaks count="16" manualBreakCount="16">
    <brk id="47" max="16383" man="1"/>
    <brk id="67" max="16383" man="1"/>
    <brk id="74" max="16383" man="1"/>
    <brk id="129" max="16383" man="1"/>
    <brk id="189" max="16383" man="1"/>
    <brk id="258" max="16383" man="1"/>
    <brk id="286" max="16383" man="1"/>
    <brk id="333" max="16383" man="1"/>
    <brk id="375" max="16383" man="1"/>
    <brk id="429" max="16383" man="1"/>
    <brk id="477" max="16383" man="1"/>
    <brk id="543" max="16383" man="1"/>
    <brk id="594" max="16383" man="1"/>
    <brk id="618" max="16383" man="1"/>
    <brk id="646" max="16383" man="1"/>
    <brk id="675" max="16383" man="1"/>
  </rowBreaks>
  <ignoredErrors>
    <ignoredError sqref="E377 E386 E396 E407 E421 E431 E437 E449 E457 E461" numberStoredAsText="1"/>
    <ignoredError sqref="W589 BF590" formula="1"/>
  </ignoredErrors>
  <legacyDrawing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G54"/>
  <sheetViews>
    <sheetView showGridLines="0" view="pageBreakPreview" topLeftCell="D6" zoomScaleSheetLayoutView="100" workbookViewId="0">
      <selection activeCell="F16" sqref="F16"/>
    </sheetView>
  </sheetViews>
  <sheetFormatPr defaultColWidth="9" defaultRowHeight="13.8" zeroHeight="1"/>
  <cols>
    <col min="1" max="2" width="2.44140625" style="449" customWidth="1"/>
    <col min="3" max="3" width="3.88671875" style="449" customWidth="1"/>
    <col min="4" max="4" width="15.44140625" style="449" customWidth="1"/>
    <col min="5" max="5" width="32.44140625" style="449" customWidth="1"/>
    <col min="6" max="8" width="15.44140625" style="449" customWidth="1"/>
    <col min="9" max="9" width="40.44140625" style="449" customWidth="1"/>
    <col min="10" max="10" width="30.44140625" style="449" customWidth="1"/>
    <col min="11" max="13" width="2.44140625" style="449" customWidth="1"/>
    <col min="14" max="14" width="29.6640625" style="449" customWidth="1"/>
    <col min="15" max="24" width="2.44140625" style="449" customWidth="1"/>
    <col min="25" max="33" width="9" style="449" customWidth="1"/>
    <col min="34" max="16384" width="9" style="449"/>
  </cols>
  <sheetData>
    <row r="1" spans="1:33">
      <c r="A1" s="2579" t="s">
        <v>129</v>
      </c>
      <c r="B1" s="2579"/>
      <c r="C1" s="2579"/>
      <c r="D1" s="2579"/>
      <c r="E1" s="2579"/>
      <c r="F1" s="2579"/>
      <c r="G1" s="2579"/>
      <c r="H1" s="2579"/>
      <c r="I1" s="2579"/>
      <c r="J1" s="2579"/>
      <c r="K1" s="2579"/>
      <c r="L1" s="448"/>
      <c r="M1" s="448"/>
      <c r="N1" s="448"/>
      <c r="O1" s="448"/>
      <c r="P1" s="448"/>
      <c r="Q1" s="448"/>
      <c r="R1" s="448"/>
      <c r="S1" s="448"/>
      <c r="T1" s="448"/>
      <c r="U1" s="448"/>
      <c r="V1" s="448"/>
      <c r="W1" s="448"/>
      <c r="X1" s="448"/>
      <c r="Y1" s="448"/>
      <c r="Z1" s="448"/>
      <c r="AA1" s="448"/>
      <c r="AB1" s="448"/>
      <c r="AC1" s="448"/>
      <c r="AD1" s="448"/>
      <c r="AE1" s="448"/>
      <c r="AF1" s="448"/>
      <c r="AG1" s="448"/>
    </row>
    <row r="2" spans="1:33">
      <c r="A2" s="2579"/>
      <c r="B2" s="2579"/>
      <c r="C2" s="2579"/>
      <c r="D2" s="2579"/>
      <c r="E2" s="2579"/>
      <c r="F2" s="2579"/>
      <c r="G2" s="2579"/>
      <c r="H2" s="2579"/>
      <c r="I2" s="2579"/>
      <c r="J2" s="2579"/>
      <c r="K2" s="2579"/>
      <c r="L2" s="448"/>
      <c r="M2" s="448"/>
      <c r="N2" s="448"/>
      <c r="O2" s="448"/>
      <c r="P2" s="448"/>
      <c r="Q2" s="448"/>
      <c r="R2" s="448"/>
      <c r="S2" s="448"/>
      <c r="T2" s="448"/>
      <c r="U2" s="448"/>
      <c r="V2" s="448"/>
      <c r="W2" s="448"/>
      <c r="X2" s="448"/>
      <c r="Y2" s="448"/>
      <c r="Z2" s="448"/>
      <c r="AA2" s="448"/>
      <c r="AB2" s="448"/>
      <c r="AC2" s="448"/>
      <c r="AD2" s="448"/>
      <c r="AE2" s="448"/>
      <c r="AF2" s="448"/>
      <c r="AG2" s="448"/>
    </row>
    <row r="3" spans="1:33">
      <c r="L3" s="450"/>
      <c r="M3" s="450"/>
      <c r="N3" s="450"/>
      <c r="O3" s="450"/>
      <c r="P3" s="450"/>
      <c r="Q3" s="450"/>
      <c r="R3" s="450"/>
      <c r="S3" s="450"/>
      <c r="T3" s="450"/>
      <c r="U3" s="450"/>
      <c r="V3" s="450"/>
      <c r="W3" s="450"/>
      <c r="X3" s="450"/>
      <c r="Y3" s="450"/>
      <c r="Z3" s="450"/>
      <c r="AA3" s="450"/>
      <c r="AB3" s="450"/>
      <c r="AC3" s="450"/>
    </row>
    <row r="4" spans="1:33">
      <c r="C4" s="2591" t="s">
        <v>654</v>
      </c>
      <c r="D4" s="2591"/>
      <c r="E4" s="2591"/>
      <c r="F4" s="2591"/>
      <c r="G4" s="2591"/>
      <c r="H4" s="2591"/>
      <c r="I4" s="2591"/>
      <c r="J4" s="2591"/>
    </row>
    <row r="5" spans="1:33">
      <c r="C5" s="2591"/>
      <c r="D5" s="2591"/>
      <c r="E5" s="2591"/>
      <c r="F5" s="2591"/>
      <c r="G5" s="2591"/>
      <c r="H5" s="2591"/>
      <c r="I5" s="2591"/>
      <c r="J5" s="2591"/>
    </row>
    <row r="6" spans="1:33">
      <c r="C6" s="462"/>
      <c r="D6" s="462"/>
      <c r="E6" s="462"/>
      <c r="F6" s="462"/>
      <c r="G6" s="462"/>
      <c r="H6" s="462"/>
      <c r="I6" s="462"/>
      <c r="J6" s="462"/>
    </row>
    <row r="7" spans="1:33">
      <c r="C7" s="463" t="s">
        <v>814</v>
      </c>
      <c r="D7" s="462"/>
      <c r="E7" s="2586" t="str">
        <f>Application!H15</f>
        <v>Housing Authority of the City of Fresno</v>
      </c>
      <c r="F7" s="2586"/>
      <c r="G7" s="2586"/>
      <c r="H7" s="462"/>
      <c r="I7" s="463" t="s">
        <v>1951</v>
      </c>
      <c r="J7" s="1095">
        <f>Application!AG433+Application!AG431</f>
        <v>40</v>
      </c>
    </row>
    <row r="8" spans="1:33">
      <c r="C8" s="463" t="s">
        <v>815</v>
      </c>
      <c r="D8" s="462"/>
      <c r="E8" s="2586" t="str">
        <f>Application!H17</f>
        <v>The Arthur at Blackstone</v>
      </c>
      <c r="F8" s="2586"/>
      <c r="G8" s="2586"/>
      <c r="H8" s="462"/>
      <c r="I8" s="463" t="s">
        <v>1952</v>
      </c>
      <c r="J8" s="1098">
        <f>Application!$CQ$648</f>
        <v>58</v>
      </c>
    </row>
    <row r="9" spans="1:33" ht="14.25" customHeight="1">
      <c r="C9" s="463" t="s">
        <v>816</v>
      </c>
      <c r="D9" s="462"/>
      <c r="E9" s="2592" t="str">
        <f>Application!D214</f>
        <v>Special Needs</v>
      </c>
      <c r="F9" s="2592"/>
      <c r="G9" s="2592"/>
      <c r="H9" s="462"/>
      <c r="I9" s="463" t="s">
        <v>1953</v>
      </c>
      <c r="J9" s="732">
        <v>20</v>
      </c>
      <c r="N9" s="1094"/>
    </row>
    <row r="10" spans="1:33" ht="26.85" customHeight="1">
      <c r="C10" s="2591" t="s">
        <v>1950</v>
      </c>
      <c r="D10" s="2591"/>
      <c r="E10" s="2593" t="str">
        <f>Application!$E$217</f>
        <v>Large Family</v>
      </c>
      <c r="F10" s="2593"/>
      <c r="G10" s="2593"/>
      <c r="H10" s="1092"/>
      <c r="I10" s="1097" t="s">
        <v>1954</v>
      </c>
      <c r="J10" s="1096">
        <f>IF(J9&gt;0,J8-J9,J8)</f>
        <v>38</v>
      </c>
      <c r="N10" s="1094"/>
    </row>
    <row r="11" spans="1:33">
      <c r="C11" s="451"/>
      <c r="N11" s="1094"/>
    </row>
    <row r="12" spans="1:33" ht="15" customHeight="1">
      <c r="C12" s="2580" t="s">
        <v>960</v>
      </c>
      <c r="D12" s="2581"/>
      <c r="E12" s="2582"/>
      <c r="F12" s="2587" t="s">
        <v>1219</v>
      </c>
      <c r="G12" s="2587" t="s">
        <v>961</v>
      </c>
      <c r="H12" s="2589" t="s">
        <v>2072</v>
      </c>
      <c r="I12" s="2587" t="s">
        <v>1220</v>
      </c>
      <c r="J12" s="2587" t="s">
        <v>2071</v>
      </c>
      <c r="N12" s="1094"/>
    </row>
    <row r="13" spans="1:33" ht="68.25" customHeight="1">
      <c r="C13" s="2583"/>
      <c r="D13" s="2584"/>
      <c r="E13" s="2585"/>
      <c r="F13" s="2588"/>
      <c r="G13" s="2588"/>
      <c r="H13" s="2590"/>
      <c r="I13" s="2588"/>
      <c r="J13" s="2588"/>
    </row>
    <row r="14" spans="1:33" ht="15" customHeight="1">
      <c r="C14" s="1110" t="s">
        <v>2216</v>
      </c>
      <c r="D14" s="1111"/>
      <c r="E14" s="1111"/>
      <c r="F14" s="1108"/>
      <c r="G14" s="1108"/>
      <c r="H14" s="1109"/>
      <c r="I14" s="1109"/>
      <c r="J14" s="1109"/>
    </row>
    <row r="15" spans="1:33">
      <c r="C15" s="452" t="s">
        <v>962</v>
      </c>
      <c r="D15" s="449" t="s">
        <v>972</v>
      </c>
      <c r="F15" s="459" t="s">
        <v>2509</v>
      </c>
      <c r="G15" s="460">
        <v>5269</v>
      </c>
      <c r="H15" s="642" t="s">
        <v>2479</v>
      </c>
      <c r="I15" s="642" t="s">
        <v>2482</v>
      </c>
      <c r="J15" s="642" t="s">
        <v>2485</v>
      </c>
    </row>
    <row r="16" spans="1:33">
      <c r="C16" s="452" t="s">
        <v>963</v>
      </c>
      <c r="D16" s="449" t="s">
        <v>973</v>
      </c>
      <c r="F16" s="459"/>
      <c r="G16" s="639"/>
      <c r="H16" s="642"/>
      <c r="I16" s="642"/>
      <c r="J16" s="642"/>
    </row>
    <row r="17" spans="3:10">
      <c r="C17" s="452" t="s">
        <v>964</v>
      </c>
      <c r="D17" s="449" t="s">
        <v>1118</v>
      </c>
      <c r="F17" s="459" t="s">
        <v>2476</v>
      </c>
      <c r="G17" s="639">
        <v>2400</v>
      </c>
      <c r="H17" s="642" t="s">
        <v>2479</v>
      </c>
      <c r="I17" s="642" t="s">
        <v>2483</v>
      </c>
      <c r="J17" s="642" t="s">
        <v>2485</v>
      </c>
    </row>
    <row r="18" spans="3:10">
      <c r="C18" s="452" t="s">
        <v>965</v>
      </c>
      <c r="D18" s="450" t="s">
        <v>1119</v>
      </c>
      <c r="E18" s="450"/>
      <c r="F18" s="459"/>
      <c r="G18" s="639"/>
      <c r="H18" s="642"/>
      <c r="I18" s="642"/>
      <c r="J18" s="642"/>
    </row>
    <row r="19" spans="3:10">
      <c r="C19" s="452" t="s">
        <v>966</v>
      </c>
      <c r="D19" s="450" t="s">
        <v>386</v>
      </c>
      <c r="E19" s="450"/>
      <c r="F19" s="459"/>
      <c r="G19" s="639"/>
      <c r="H19" s="642"/>
      <c r="I19" s="642"/>
      <c r="J19" s="642"/>
    </row>
    <row r="20" spans="3:10">
      <c r="C20" s="452" t="s">
        <v>967</v>
      </c>
      <c r="D20" s="450" t="s">
        <v>387</v>
      </c>
      <c r="E20" s="1122"/>
      <c r="F20" s="1121"/>
      <c r="G20" s="639"/>
      <c r="H20" s="642"/>
      <c r="I20" s="642"/>
      <c r="J20" s="642"/>
    </row>
    <row r="21" spans="3:10">
      <c r="C21" s="1099"/>
      <c r="D21" s="1100"/>
      <c r="E21" s="1101"/>
      <c r="F21" s="1121"/>
      <c r="G21" s="639"/>
      <c r="H21" s="642"/>
      <c r="I21" s="642"/>
      <c r="J21" s="642"/>
    </row>
    <row r="22" spans="3:10">
      <c r="C22" s="1112" t="s">
        <v>1894</v>
      </c>
      <c r="D22" s="1113"/>
      <c r="E22" s="1113"/>
      <c r="F22" s="1114"/>
      <c r="G22" s="1115"/>
      <c r="H22" s="1116"/>
      <c r="I22" s="1116"/>
      <c r="J22" s="1116"/>
    </row>
    <row r="23" spans="3:10">
      <c r="C23" s="452" t="s">
        <v>968</v>
      </c>
      <c r="D23" s="450" t="s">
        <v>1120</v>
      </c>
      <c r="E23" s="450"/>
      <c r="F23" s="459"/>
      <c r="G23" s="639"/>
      <c r="H23" s="642"/>
      <c r="I23" s="642"/>
      <c r="J23" s="642"/>
    </row>
    <row r="24" spans="3:10">
      <c r="C24" s="452" t="s">
        <v>969</v>
      </c>
      <c r="D24" s="450" t="s">
        <v>1121</v>
      </c>
      <c r="E24" s="450"/>
      <c r="F24" s="459" t="s">
        <v>2477</v>
      </c>
      <c r="G24" s="639">
        <v>4622</v>
      </c>
      <c r="H24" s="642" t="s">
        <v>2479</v>
      </c>
      <c r="I24" s="642" t="s">
        <v>2483</v>
      </c>
      <c r="J24" s="642" t="s">
        <v>2485</v>
      </c>
    </row>
    <row r="25" spans="3:10">
      <c r="C25" s="452" t="s">
        <v>970</v>
      </c>
      <c r="D25" s="449" t="s">
        <v>1118</v>
      </c>
      <c r="E25" s="450"/>
      <c r="F25" s="459" t="s">
        <v>2478</v>
      </c>
      <c r="G25" s="639">
        <v>3360</v>
      </c>
      <c r="H25" s="642" t="s">
        <v>2479</v>
      </c>
      <c r="I25" s="642" t="s">
        <v>2483</v>
      </c>
      <c r="J25" s="642" t="s">
        <v>2485</v>
      </c>
    </row>
    <row r="26" spans="3:10">
      <c r="C26" s="452" t="s">
        <v>1122</v>
      </c>
      <c r="D26" s="450" t="s">
        <v>1968</v>
      </c>
      <c r="E26" s="450"/>
      <c r="F26" s="459"/>
      <c r="G26" s="639">
        <v>474138</v>
      </c>
      <c r="H26" s="642" t="s">
        <v>2480</v>
      </c>
      <c r="I26" s="642" t="s">
        <v>2484</v>
      </c>
      <c r="J26" s="642" t="s">
        <v>2486</v>
      </c>
    </row>
    <row r="27" spans="3:10">
      <c r="C27" s="452" t="s">
        <v>1123</v>
      </c>
      <c r="D27" s="450" t="s">
        <v>386</v>
      </c>
      <c r="E27" s="450"/>
      <c r="F27" s="459"/>
      <c r="G27" s="639"/>
      <c r="H27" s="642"/>
      <c r="I27" s="642"/>
      <c r="J27" s="642"/>
    </row>
    <row r="28" spans="3:10">
      <c r="C28" s="452" t="s">
        <v>1124</v>
      </c>
      <c r="D28" s="450" t="s">
        <v>387</v>
      </c>
      <c r="E28" s="450"/>
      <c r="F28" s="459"/>
      <c r="G28" s="639"/>
      <c r="H28" s="642"/>
      <c r="I28" s="642"/>
      <c r="J28" s="642"/>
    </row>
    <row r="29" spans="3:10">
      <c r="C29" s="1123"/>
      <c r="D29" s="451"/>
      <c r="E29" s="451"/>
      <c r="F29" s="459"/>
      <c r="G29" s="639"/>
      <c r="H29" s="642"/>
      <c r="I29" s="642"/>
      <c r="J29" s="642"/>
    </row>
    <row r="30" spans="3:10">
      <c r="C30" s="1117" t="s">
        <v>971</v>
      </c>
      <c r="D30" s="1113"/>
      <c r="E30" s="1113"/>
      <c r="F30" s="1118"/>
      <c r="G30" s="1119"/>
      <c r="H30" s="1120"/>
      <c r="I30" s="1120"/>
      <c r="J30" s="1120"/>
    </row>
    <row r="31" spans="3:10">
      <c r="C31" s="452"/>
      <c r="D31" s="457" t="s">
        <v>2481</v>
      </c>
      <c r="E31" s="457"/>
      <c r="F31" s="459"/>
      <c r="G31" s="639">
        <v>349</v>
      </c>
      <c r="H31" s="642" t="s">
        <v>2479</v>
      </c>
      <c r="I31" s="642" t="s">
        <v>2483</v>
      </c>
      <c r="J31" s="642" t="s">
        <v>2485</v>
      </c>
    </row>
    <row r="32" spans="3:10">
      <c r="C32" s="452"/>
      <c r="D32" s="457"/>
      <c r="E32" s="457"/>
      <c r="F32" s="459"/>
      <c r="G32" s="639"/>
      <c r="H32" s="642"/>
      <c r="I32" s="642"/>
      <c r="J32" s="642"/>
    </row>
    <row r="33" spans="3:10">
      <c r="C33" s="452"/>
      <c r="D33" s="458"/>
      <c r="E33" s="457"/>
      <c r="F33" s="459"/>
      <c r="G33" s="639"/>
      <c r="H33" s="642"/>
      <c r="I33" s="642"/>
      <c r="J33" s="642"/>
    </row>
    <row r="34" spans="3:10">
      <c r="C34" s="452"/>
      <c r="F34" s="453"/>
      <c r="G34" s="453"/>
      <c r="H34" s="453"/>
      <c r="I34" s="453"/>
      <c r="J34" s="453"/>
    </row>
    <row r="35" spans="3:10">
      <c r="C35" s="454" t="s">
        <v>974</v>
      </c>
      <c r="D35" s="455"/>
      <c r="E35" s="455"/>
      <c r="F35" s="640"/>
      <c r="G35" s="456">
        <f>SUM(G15:G33)</f>
        <v>490138</v>
      </c>
      <c r="H35" s="641"/>
      <c r="I35" s="641"/>
      <c r="J35" s="641"/>
    </row>
    <row r="36" spans="3:10"/>
    <row r="37" spans="3:10" ht="16.2">
      <c r="C37" s="447" t="s">
        <v>1969</v>
      </c>
    </row>
    <row r="38" spans="3:10" s="461" customFormat="1" ht="17.25" customHeight="1">
      <c r="C38" s="476" t="s">
        <v>2073</v>
      </c>
    </row>
    <row r="39" spans="3:10" s="461" customFormat="1" ht="14.4">
      <c r="C39" s="461" t="s">
        <v>2074</v>
      </c>
    </row>
    <row r="40" spans="3:10" s="461" customFormat="1"/>
    <row r="41" spans="3:10" s="461" customFormat="1"/>
    <row r="42" spans="3:10" s="461" customFormat="1" hidden="1"/>
    <row r="43" spans="3:10" s="461" customFormat="1" hidden="1"/>
    <row r="44" spans="3:10" s="461" customFormat="1" hidden="1"/>
    <row r="45" spans="3:10" s="461" customFormat="1" hidden="1"/>
    <row r="46" spans="3:10" s="461" customFormat="1" hidden="1"/>
    <row r="47" spans="3:10" s="461" customFormat="1" hidden="1"/>
    <row r="48" spans="3:10" s="461" customFormat="1" hidden="1"/>
    <row r="49" s="461" customFormat="1" hidden="1"/>
    <row r="50" s="461" customFormat="1" hidden="1"/>
    <row r="51" s="461" customFormat="1" hidden="1"/>
    <row r="52" s="461" customFormat="1" hidden="1"/>
    <row r="53" s="461" customFormat="1" hidden="1"/>
    <row r="54"/>
  </sheetData>
  <sheetProtection algorithmName="SHA-512" hashValue="OFwViSIO6Ho9OzZ+paU/6YEfoIO+K43vhJBruhRZk8OI2oE3eiKcsHZVv0oenEqHuZN9BfTcqoOFHqaI4RSRzg==" saltValue="BRIGa6dPvzlJenVTlwIISg==" spinCount="100000" sheet="1" objects="1" scenarios="1"/>
  <customSheetViews>
    <customSheetView guid="{48A1B9AA-9520-4513-968D-1FB22989E0AF}" scale="80" showGridLines="0" fitToPage="1">
      <selection activeCell="J8" sqref="J8"/>
      <pageMargins left="0.7" right="0.7" top="0.75" bottom="0.75" header="0.3" footer="0.3"/>
      <printOptions horizontalCentered="1"/>
      <pageSetup scale="72" firstPageNumber="43" orientation="landscape" useFirstPageNumber="1"/>
      <headerFooter alignWithMargins="0">
        <oddHeader>&amp;C&amp;14Service Amenities Sources and Uses Budget</oddHeader>
        <oddFooter>&amp;L&amp;8April 18, 2016 Version&amp;C&amp;P&amp;R&amp;8&amp;A &amp;D</oddFooter>
      </headerFooter>
    </customSheetView>
  </customSheetViews>
  <mergeCells count="13">
    <mergeCell ref="A1:K2"/>
    <mergeCell ref="C12:E13"/>
    <mergeCell ref="E7:G7"/>
    <mergeCell ref="E8:G8"/>
    <mergeCell ref="F12:F13"/>
    <mergeCell ref="I12:I13"/>
    <mergeCell ref="G12:G13"/>
    <mergeCell ref="H12:H13"/>
    <mergeCell ref="J12:J13"/>
    <mergeCell ref="C4:J5"/>
    <mergeCell ref="E9:G9"/>
    <mergeCell ref="E10:G10"/>
    <mergeCell ref="C10:D10"/>
  </mergeCells>
  <phoneticPr fontId="22" type="noConversion"/>
  <conditionalFormatting sqref="J10">
    <cfRule type="cellIs" dxfId="2" priority="1" operator="lessThan">
      <formula>0</formula>
    </cfRule>
  </conditionalFormatting>
  <printOptions horizontalCentered="1"/>
  <pageMargins left="0.25" right="0.25" top="0.75" bottom="0.75" header="0.3" footer="0.3"/>
  <pageSetup scale="20" firstPageNumber="43" fitToHeight="0" orientation="landscape" useFirstPageNumber="1" r:id="rId1"/>
  <headerFooter alignWithMargins="0">
    <oddHeader>&amp;C&amp;14Service Amenities Sources and Uses Budget</oddHeader>
    <oddFooter>&amp;C&amp;P&amp;R&amp;8&amp;A</oddFooter>
  </headerFooter>
  <colBreaks count="1" manualBreakCount="1">
    <brk id="14" max="39" man="1"/>
  </colBreaks>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110"/>
  <sheetViews>
    <sheetView showGridLines="0" view="pageBreakPreview" topLeftCell="A26" zoomScale="90" zoomScaleSheetLayoutView="90" workbookViewId="0">
      <selection activeCell="S52" sqref="S52"/>
    </sheetView>
  </sheetViews>
  <sheetFormatPr defaultColWidth="8.88671875" defaultRowHeight="0" customHeight="1" zeroHeight="1"/>
  <cols>
    <col min="1" max="1" width="3.44140625" style="794" customWidth="1"/>
    <col min="2" max="4" width="17.44140625" style="794" customWidth="1"/>
    <col min="5" max="5" width="15.44140625" style="794" customWidth="1"/>
    <col min="6" max="6" width="2.44140625" style="794" customWidth="1"/>
    <col min="7" max="7" width="14.44140625" style="794" customWidth="1"/>
    <col min="8" max="9" width="2.44140625" style="794" customWidth="1"/>
    <col min="10" max="10" width="3.44140625" style="794" customWidth="1"/>
    <col min="11" max="14" width="2.44140625" style="794" customWidth="1"/>
    <col min="15" max="15" width="43.6640625" style="794" customWidth="1"/>
    <col min="16" max="16" width="7.44140625" style="794" customWidth="1"/>
    <col min="17" max="17" width="3.44140625" style="794" customWidth="1"/>
    <col min="18" max="19" width="10.44140625" style="794" customWidth="1"/>
    <col min="20" max="16384" width="8.88671875" style="794"/>
  </cols>
  <sheetData>
    <row r="1" spans="1:19" ht="15" customHeight="1">
      <c r="A1" s="2616" t="s">
        <v>2127</v>
      </c>
      <c r="B1" s="2616"/>
      <c r="C1" s="2616"/>
      <c r="D1" s="2616"/>
      <c r="E1" s="2616"/>
      <c r="F1" s="2616"/>
      <c r="G1" s="2616"/>
      <c r="H1" s="2616"/>
      <c r="I1" s="2616"/>
      <c r="J1" s="2616"/>
      <c r="K1" s="2616"/>
      <c r="L1" s="2616"/>
      <c r="M1" s="2616"/>
      <c r="N1" s="2616"/>
      <c r="O1" s="2616"/>
      <c r="P1" s="2616"/>
      <c r="Q1" s="2616"/>
      <c r="R1" s="2616"/>
      <c r="S1" s="2616"/>
    </row>
    <row r="2" spans="1:19" ht="15" customHeight="1">
      <c r="A2" s="2616"/>
      <c r="B2" s="2616"/>
      <c r="C2" s="2616"/>
      <c r="D2" s="2616"/>
      <c r="E2" s="2616"/>
      <c r="F2" s="2616"/>
      <c r="G2" s="2616"/>
      <c r="H2" s="2616"/>
      <c r="I2" s="2616"/>
      <c r="J2" s="2616"/>
      <c r="K2" s="2616"/>
      <c r="L2" s="2616"/>
      <c r="M2" s="2616"/>
      <c r="N2" s="2616"/>
      <c r="O2" s="2616"/>
      <c r="P2" s="2616"/>
      <c r="Q2" s="2616"/>
      <c r="R2" s="2616"/>
      <c r="S2" s="2616"/>
    </row>
    <row r="3" spans="1:19" ht="15" customHeight="1">
      <c r="A3" s="817"/>
      <c r="B3" s="817"/>
      <c r="C3" s="817"/>
      <c r="D3" s="817"/>
      <c r="E3" s="817"/>
      <c r="F3" s="817"/>
      <c r="G3" s="817"/>
      <c r="H3" s="817"/>
      <c r="I3" s="817"/>
      <c r="J3" s="817"/>
      <c r="K3" s="817"/>
      <c r="L3" s="817"/>
      <c r="M3" s="817"/>
      <c r="N3" s="817"/>
      <c r="O3" s="817"/>
      <c r="P3" s="817"/>
      <c r="Q3" s="817"/>
      <c r="R3" s="817"/>
      <c r="S3" s="818"/>
    </row>
    <row r="4" spans="1:19" ht="15" customHeight="1">
      <c r="A4" s="817"/>
      <c r="B4" s="2601" t="s">
        <v>1838</v>
      </c>
      <c r="C4" s="2601"/>
      <c r="D4" s="2601"/>
      <c r="E4" s="2601"/>
      <c r="F4" s="2601"/>
      <c r="G4" s="2601"/>
      <c r="H4" s="2601"/>
      <c r="I4" s="2601"/>
      <c r="J4" s="2601"/>
      <c r="K4" s="2601"/>
      <c r="L4" s="2601"/>
      <c r="M4" s="2601"/>
      <c r="N4" s="2601"/>
      <c r="O4" s="2601"/>
      <c r="P4" s="2601"/>
      <c r="Q4" s="2601"/>
      <c r="R4" s="2601"/>
      <c r="S4" s="818"/>
    </row>
    <row r="5" spans="1:19" ht="15" customHeight="1">
      <c r="A5" s="817"/>
      <c r="B5" s="2601"/>
      <c r="C5" s="2601"/>
      <c r="D5" s="2601"/>
      <c r="E5" s="2601"/>
      <c r="F5" s="2601"/>
      <c r="G5" s="2601"/>
      <c r="H5" s="2601"/>
      <c r="I5" s="2601"/>
      <c r="J5" s="2601"/>
      <c r="K5" s="2601"/>
      <c r="L5" s="2601"/>
      <c r="M5" s="2601"/>
      <c r="N5" s="2601"/>
      <c r="O5" s="2601"/>
      <c r="P5" s="2601"/>
      <c r="Q5" s="2601"/>
      <c r="R5" s="2601"/>
      <c r="S5" s="818"/>
    </row>
    <row r="6" spans="1:19" ht="15" customHeight="1">
      <c r="A6" s="817"/>
      <c r="B6" s="2601"/>
      <c r="C6" s="2601"/>
      <c r="D6" s="2601"/>
      <c r="E6" s="2601"/>
      <c r="F6" s="2601"/>
      <c r="G6" s="2601"/>
      <c r="H6" s="2601"/>
      <c r="I6" s="2601"/>
      <c r="J6" s="2601"/>
      <c r="K6" s="2601"/>
      <c r="L6" s="2601"/>
      <c r="M6" s="2601"/>
      <c r="N6" s="2601"/>
      <c r="O6" s="2601"/>
      <c r="P6" s="2601"/>
      <c r="Q6" s="2601"/>
      <c r="R6" s="2601"/>
      <c r="S6" s="818"/>
    </row>
    <row r="7" spans="1:19" ht="15" customHeight="1">
      <c r="A7" s="817"/>
      <c r="B7" s="1045"/>
      <c r="C7" s="1045"/>
      <c r="D7" s="1045"/>
      <c r="E7" s="1045"/>
      <c r="F7" s="1045"/>
      <c r="G7" s="1045"/>
      <c r="H7" s="1045"/>
      <c r="I7" s="1045"/>
      <c r="J7" s="1045"/>
      <c r="K7" s="1045"/>
      <c r="L7" s="1045"/>
      <c r="M7" s="1045"/>
      <c r="N7" s="1045"/>
      <c r="O7" s="1045"/>
      <c r="P7" s="1045"/>
      <c r="Q7" s="1045"/>
      <c r="R7" s="1045"/>
      <c r="S7" s="818"/>
    </row>
    <row r="8" spans="1:19" ht="15" customHeight="1">
      <c r="A8" s="817"/>
      <c r="B8" s="2601" t="s">
        <v>1914</v>
      </c>
      <c r="C8" s="2601"/>
      <c r="D8" s="2601"/>
      <c r="E8" s="2601"/>
      <c r="F8" s="2601"/>
      <c r="G8" s="2601"/>
      <c r="H8" s="2601"/>
      <c r="I8" s="2601"/>
      <c r="J8" s="2601"/>
      <c r="K8" s="2601"/>
      <c r="L8" s="2601"/>
      <c r="M8" s="2601"/>
      <c r="N8" s="2601"/>
      <c r="O8" s="2601"/>
      <c r="P8" s="2601"/>
      <c r="Q8" s="2601"/>
      <c r="R8" s="2601"/>
      <c r="S8" s="818"/>
    </row>
    <row r="9" spans="1:19" ht="15" customHeight="1">
      <c r="A9" s="817"/>
      <c r="B9" s="795"/>
      <c r="C9" s="817"/>
      <c r="D9" s="817"/>
      <c r="E9" s="817"/>
      <c r="F9" s="817"/>
      <c r="G9" s="817"/>
      <c r="H9" s="817"/>
      <c r="I9" s="817"/>
      <c r="J9" s="817"/>
      <c r="K9" s="817"/>
      <c r="L9" s="817"/>
      <c r="M9" s="817"/>
      <c r="N9" s="817"/>
      <c r="O9" s="817"/>
      <c r="P9" s="817"/>
      <c r="Q9" s="817"/>
      <c r="R9" s="817"/>
      <c r="S9" s="818"/>
    </row>
    <row r="10" spans="1:19" ht="15" customHeight="1">
      <c r="A10" s="817"/>
      <c r="B10" s="2617" t="s">
        <v>1915</v>
      </c>
      <c r="C10" s="2617"/>
      <c r="D10" s="2617"/>
      <c r="E10" s="2617"/>
      <c r="F10" s="2617"/>
      <c r="G10" s="2617"/>
      <c r="H10" s="2617"/>
      <c r="I10" s="2617"/>
      <c r="J10" s="2617"/>
      <c r="K10" s="2617"/>
      <c r="L10" s="2617"/>
      <c r="M10" s="2617"/>
      <c r="N10" s="2617"/>
      <c r="O10" s="2617"/>
      <c r="P10" s="2617"/>
      <c r="Q10" s="2617"/>
      <c r="R10" s="2617"/>
      <c r="S10" s="818"/>
    </row>
    <row r="11" spans="1:19" ht="15" customHeight="1">
      <c r="A11" s="817"/>
      <c r="B11" s="2617"/>
      <c r="C11" s="2617"/>
      <c r="D11" s="2617"/>
      <c r="E11" s="2617"/>
      <c r="F11" s="2617"/>
      <c r="G11" s="2617"/>
      <c r="H11" s="2617"/>
      <c r="I11" s="2617"/>
      <c r="J11" s="2617"/>
      <c r="K11" s="2617"/>
      <c r="L11" s="2617"/>
      <c r="M11" s="2617"/>
      <c r="N11" s="2617"/>
      <c r="O11" s="2617"/>
      <c r="P11" s="2617"/>
      <c r="Q11" s="2617"/>
      <c r="R11" s="2617"/>
      <c r="S11" s="818"/>
    </row>
    <row r="12" spans="1:19" ht="15" customHeight="1">
      <c r="A12" s="817"/>
      <c r="B12" s="1054"/>
      <c r="C12" s="1054"/>
      <c r="D12" s="1054"/>
      <c r="E12" s="1054"/>
      <c r="F12" s="1054"/>
      <c r="G12" s="1054"/>
      <c r="H12" s="1054"/>
      <c r="I12" s="1054"/>
      <c r="J12" s="1054"/>
      <c r="K12" s="1054"/>
      <c r="L12" s="1054"/>
      <c r="M12" s="1054"/>
      <c r="N12" s="1054"/>
      <c r="O12" s="1054"/>
      <c r="P12" s="1054"/>
      <c r="Q12" s="1054"/>
      <c r="R12" s="1054"/>
      <c r="S12" s="818"/>
    </row>
    <row r="13" spans="1:19" ht="15" customHeight="1">
      <c r="A13" s="817"/>
      <c r="B13" s="2617" t="s">
        <v>2230</v>
      </c>
      <c r="C13" s="2617"/>
      <c r="D13" s="2617"/>
      <c r="E13" s="2617"/>
      <c r="F13" s="2617"/>
      <c r="G13" s="2617"/>
      <c r="H13" s="2617"/>
      <c r="I13" s="2617"/>
      <c r="J13" s="2617"/>
      <c r="K13" s="2617"/>
      <c r="L13" s="2617"/>
      <c r="M13" s="2617"/>
      <c r="N13" s="2617"/>
      <c r="O13" s="2617"/>
      <c r="P13" s="2617"/>
      <c r="Q13" s="2617"/>
      <c r="R13" s="2617"/>
      <c r="S13" s="818"/>
    </row>
    <row r="14" spans="1:19" ht="15" customHeight="1">
      <c r="A14" s="817"/>
      <c r="B14" s="2617"/>
      <c r="C14" s="2617"/>
      <c r="D14" s="2617"/>
      <c r="E14" s="2617"/>
      <c r="F14" s="2617"/>
      <c r="G14" s="2617"/>
      <c r="H14" s="2617"/>
      <c r="I14" s="2617"/>
      <c r="J14" s="2617"/>
      <c r="K14" s="2617"/>
      <c r="L14" s="2617"/>
      <c r="M14" s="2617"/>
      <c r="N14" s="2617"/>
      <c r="O14" s="2617"/>
      <c r="P14" s="2617"/>
      <c r="Q14" s="2617"/>
      <c r="R14" s="2617"/>
      <c r="S14" s="818"/>
    </row>
    <row r="15" spans="1:19" ht="15" customHeight="1">
      <c r="A15" s="817"/>
      <c r="B15" s="2617"/>
      <c r="C15" s="2617"/>
      <c r="D15" s="2617"/>
      <c r="E15" s="2617"/>
      <c r="F15" s="2617"/>
      <c r="G15" s="2617"/>
      <c r="H15" s="2617"/>
      <c r="I15" s="2617"/>
      <c r="J15" s="2617"/>
      <c r="K15" s="2617"/>
      <c r="L15" s="2617"/>
      <c r="M15" s="2617"/>
      <c r="N15" s="2617"/>
      <c r="O15" s="2617"/>
      <c r="P15" s="2617"/>
      <c r="Q15" s="2617"/>
      <c r="R15" s="2617"/>
      <c r="S15" s="818"/>
    </row>
    <row r="16" spans="1:19" ht="15" customHeight="1">
      <c r="A16" s="817"/>
      <c r="B16" s="2617"/>
      <c r="C16" s="2617"/>
      <c r="D16" s="2617"/>
      <c r="E16" s="2617"/>
      <c r="F16" s="2617"/>
      <c r="G16" s="2617"/>
      <c r="H16" s="2617"/>
      <c r="I16" s="2617"/>
      <c r="J16" s="2617"/>
      <c r="K16" s="2617"/>
      <c r="L16" s="2617"/>
      <c r="M16" s="2617"/>
      <c r="N16" s="2617"/>
      <c r="O16" s="2617"/>
      <c r="P16" s="2617"/>
      <c r="Q16" s="2617"/>
      <c r="R16" s="2617"/>
      <c r="S16" s="818"/>
    </row>
    <row r="17" spans="1:19" ht="15" customHeight="1">
      <c r="A17" s="817"/>
      <c r="B17" s="2617"/>
      <c r="C17" s="2617"/>
      <c r="D17" s="2617"/>
      <c r="E17" s="2617"/>
      <c r="F17" s="2617"/>
      <c r="G17" s="2617"/>
      <c r="H17" s="2617"/>
      <c r="I17" s="2617"/>
      <c r="J17" s="2617"/>
      <c r="K17" s="2617"/>
      <c r="L17" s="2617"/>
      <c r="M17" s="2617"/>
      <c r="N17" s="2617"/>
      <c r="O17" s="2617"/>
      <c r="P17" s="2617"/>
      <c r="Q17" s="2617"/>
      <c r="R17" s="2617"/>
      <c r="S17" s="818"/>
    </row>
    <row r="18" spans="1:19" ht="15" customHeight="1">
      <c r="A18" s="817"/>
      <c r="B18" s="795"/>
      <c r="C18" s="817"/>
      <c r="D18" s="817"/>
      <c r="E18" s="817"/>
      <c r="F18" s="817"/>
      <c r="G18" s="817"/>
      <c r="H18" s="817"/>
      <c r="I18" s="817"/>
      <c r="J18" s="817"/>
      <c r="K18" s="817"/>
      <c r="L18" s="817"/>
      <c r="M18" s="817"/>
      <c r="N18" s="817"/>
      <c r="O18" s="817"/>
      <c r="P18" s="817"/>
      <c r="Q18" s="817"/>
      <c r="R18" s="817"/>
      <c r="S18" s="818"/>
    </row>
    <row r="19" spans="1:19" ht="15" customHeight="1">
      <c r="A19" s="817"/>
      <c r="B19" s="2602" t="s">
        <v>2038</v>
      </c>
      <c r="C19" s="2602"/>
      <c r="D19" s="2602"/>
      <c r="E19" s="2602"/>
      <c r="F19" s="2602"/>
      <c r="G19" s="2602"/>
      <c r="H19" s="2602"/>
      <c r="I19" s="2602"/>
      <c r="J19" s="2602"/>
      <c r="K19" s="2602"/>
      <c r="L19" s="2602"/>
      <c r="M19" s="2602"/>
      <c r="N19" s="2602"/>
      <c r="O19" s="2602"/>
      <c r="P19" s="2602"/>
      <c r="Q19" s="2602"/>
      <c r="R19" s="2602"/>
      <c r="S19" s="818"/>
    </row>
    <row r="20" spans="1:19" ht="15" customHeight="1">
      <c r="A20" s="817"/>
      <c r="B20" s="2602"/>
      <c r="C20" s="2602"/>
      <c r="D20" s="2602"/>
      <c r="E20" s="2602"/>
      <c r="F20" s="2602"/>
      <c r="G20" s="2602"/>
      <c r="H20" s="2602"/>
      <c r="I20" s="2602"/>
      <c r="J20" s="2602"/>
      <c r="K20" s="2602"/>
      <c r="L20" s="2602"/>
      <c r="M20" s="2602"/>
      <c r="N20" s="2602"/>
      <c r="O20" s="2602"/>
      <c r="P20" s="2602"/>
      <c r="Q20" s="2602"/>
      <c r="R20" s="2602"/>
      <c r="S20" s="818"/>
    </row>
    <row r="21" spans="1:19" ht="15" customHeight="1">
      <c r="A21" s="817"/>
      <c r="B21" s="2602"/>
      <c r="C21" s="2602"/>
      <c r="D21" s="2602"/>
      <c r="E21" s="2602"/>
      <c r="F21" s="2602"/>
      <c r="G21" s="2602"/>
      <c r="H21" s="2602"/>
      <c r="I21" s="2602"/>
      <c r="J21" s="2602"/>
      <c r="K21" s="2602"/>
      <c r="L21" s="2602"/>
      <c r="M21" s="2602"/>
      <c r="N21" s="2602"/>
      <c r="O21" s="2602"/>
      <c r="P21" s="2602"/>
      <c r="Q21" s="2602"/>
      <c r="R21" s="2602"/>
      <c r="S21" s="818"/>
    </row>
    <row r="22" spans="1:19" ht="15" customHeight="1">
      <c r="A22" s="817"/>
      <c r="B22" s="1053"/>
      <c r="C22" s="1053"/>
      <c r="D22" s="1053"/>
      <c r="E22" s="1053"/>
      <c r="F22" s="1053"/>
      <c r="G22" s="1053"/>
      <c r="H22" s="1053"/>
      <c r="I22" s="1053"/>
      <c r="J22" s="1053"/>
      <c r="K22" s="1053"/>
      <c r="L22" s="1053"/>
      <c r="M22" s="1053"/>
      <c r="N22" s="1053"/>
      <c r="O22" s="1053"/>
      <c r="P22" s="1053"/>
      <c r="Q22" s="1053"/>
      <c r="R22" s="1053"/>
      <c r="S22" s="818"/>
    </row>
    <row r="23" spans="1:19" ht="15" customHeight="1">
      <c r="A23" s="817"/>
      <c r="B23" s="2602" t="s">
        <v>2039</v>
      </c>
      <c r="C23" s="2602"/>
      <c r="D23" s="2602"/>
      <c r="E23" s="2602"/>
      <c r="F23" s="2602"/>
      <c r="G23" s="2602"/>
      <c r="H23" s="2602"/>
      <c r="I23" s="2602"/>
      <c r="J23" s="2602"/>
      <c r="K23" s="2602"/>
      <c r="L23" s="2602"/>
      <c r="M23" s="2602"/>
      <c r="N23" s="2602"/>
      <c r="O23" s="2602"/>
      <c r="P23" s="2602"/>
      <c r="Q23" s="2602"/>
      <c r="R23" s="2602"/>
      <c r="S23" s="818"/>
    </row>
    <row r="24" spans="1:19" ht="15" customHeight="1">
      <c r="A24" s="819"/>
      <c r="B24" s="2602"/>
      <c r="C24" s="2602"/>
      <c r="D24" s="2602"/>
      <c r="E24" s="2602"/>
      <c r="F24" s="2602"/>
      <c r="G24" s="2602"/>
      <c r="H24" s="2602"/>
      <c r="I24" s="2602"/>
      <c r="J24" s="2602"/>
      <c r="K24" s="2602"/>
      <c r="L24" s="2602"/>
      <c r="M24" s="2602"/>
      <c r="N24" s="2602"/>
      <c r="O24" s="2602"/>
      <c r="P24" s="2602"/>
      <c r="Q24" s="2602"/>
      <c r="R24" s="2602"/>
      <c r="S24" s="819"/>
    </row>
    <row r="25" spans="1:19" ht="15" customHeight="1">
      <c r="A25" s="819"/>
      <c r="B25" s="1053"/>
      <c r="C25" s="1053"/>
      <c r="D25" s="1053"/>
      <c r="E25" s="1053"/>
      <c r="F25" s="1053"/>
      <c r="G25" s="1053"/>
      <c r="H25" s="1053"/>
      <c r="I25" s="1053"/>
      <c r="J25" s="1053"/>
      <c r="K25" s="1053"/>
      <c r="L25" s="1053"/>
      <c r="M25" s="1053"/>
      <c r="N25" s="1053"/>
      <c r="O25" s="1053"/>
      <c r="P25" s="1053"/>
      <c r="Q25" s="1053"/>
      <c r="R25" s="1053"/>
      <c r="S25" s="819"/>
    </row>
    <row r="26" spans="1:19" ht="15" customHeight="1">
      <c r="A26" s="819"/>
      <c r="B26" s="2601" t="s">
        <v>1913</v>
      </c>
      <c r="C26" s="2601"/>
      <c r="D26" s="2601"/>
      <c r="E26" s="2601"/>
      <c r="F26" s="2601"/>
      <c r="G26" s="2601"/>
      <c r="H26" s="2601"/>
      <c r="I26" s="2601"/>
      <c r="J26" s="2601"/>
      <c r="K26" s="2601"/>
      <c r="L26" s="2601"/>
      <c r="M26" s="2601"/>
      <c r="N26" s="2601"/>
      <c r="O26" s="2601"/>
      <c r="P26" s="2601"/>
      <c r="Q26" s="2601"/>
      <c r="R26" s="2601"/>
      <c r="S26" s="819"/>
    </row>
    <row r="27" spans="1:19" ht="15" customHeight="1">
      <c r="A27" s="819"/>
      <c r="B27" s="1053"/>
      <c r="C27" s="1053"/>
      <c r="D27" s="1053"/>
      <c r="E27" s="1053"/>
      <c r="F27" s="1053"/>
      <c r="G27" s="1053"/>
      <c r="H27" s="1053"/>
      <c r="I27" s="1053"/>
      <c r="J27" s="1053"/>
      <c r="K27" s="1053"/>
      <c r="L27" s="1053"/>
      <c r="M27" s="1053"/>
      <c r="N27" s="1053"/>
      <c r="O27" s="1053"/>
      <c r="P27" s="1053"/>
      <c r="Q27" s="1053"/>
      <c r="R27" s="1053"/>
      <c r="S27" s="819"/>
    </row>
    <row r="28" spans="1:19" ht="15" customHeight="1">
      <c r="A28" s="819"/>
      <c r="B28" s="820" t="s">
        <v>156</v>
      </c>
      <c r="C28" s="819"/>
      <c r="D28" s="819"/>
      <c r="E28" s="819"/>
      <c r="F28" s="819"/>
      <c r="G28" s="819"/>
      <c r="H28" s="819"/>
      <c r="I28" s="819"/>
      <c r="J28" s="819"/>
      <c r="K28" s="819"/>
      <c r="L28" s="819"/>
      <c r="M28" s="819"/>
      <c r="N28" s="819"/>
      <c r="O28" s="819"/>
      <c r="P28" s="819"/>
      <c r="Q28" s="819"/>
      <c r="R28" s="819"/>
      <c r="S28" s="819"/>
    </row>
    <row r="29" spans="1:19" ht="15" customHeight="1">
      <c r="A29" s="819"/>
      <c r="B29" s="2611" t="s">
        <v>1817</v>
      </c>
      <c r="C29" s="2611"/>
      <c r="D29" s="2611"/>
      <c r="E29" s="2611"/>
      <c r="F29" s="2611"/>
      <c r="G29" s="2611"/>
      <c r="H29" s="821"/>
      <c r="I29" s="821"/>
      <c r="J29" s="821"/>
      <c r="K29" s="821"/>
      <c r="L29" s="821"/>
      <c r="M29" s="821"/>
      <c r="N29" s="821"/>
      <c r="O29" s="2609" t="s">
        <v>1826</v>
      </c>
      <c r="P29" s="819"/>
      <c r="Q29" s="819"/>
      <c r="R29" s="819"/>
      <c r="S29" s="819"/>
    </row>
    <row r="30" spans="1:19" ht="15" customHeight="1">
      <c r="A30" s="819"/>
      <c r="B30" s="2611"/>
      <c r="C30" s="2611"/>
      <c r="D30" s="2611"/>
      <c r="E30" s="2611"/>
      <c r="F30" s="2611"/>
      <c r="G30" s="2611"/>
      <c r="H30" s="821"/>
      <c r="I30" s="821"/>
      <c r="J30" s="821"/>
      <c r="K30" s="821"/>
      <c r="L30" s="821"/>
      <c r="M30" s="821"/>
      <c r="N30" s="821"/>
      <c r="O30" s="2609"/>
      <c r="P30" s="819"/>
      <c r="Q30" s="819"/>
      <c r="R30" s="819"/>
      <c r="S30" s="819"/>
    </row>
    <row r="31" spans="1:19" ht="15" customHeight="1">
      <c r="A31" s="819"/>
      <c r="B31" s="2611"/>
      <c r="C31" s="2611"/>
      <c r="D31" s="2611"/>
      <c r="E31" s="2611"/>
      <c r="F31" s="2611"/>
      <c r="G31" s="2611"/>
      <c r="H31" s="821"/>
      <c r="I31" s="821"/>
      <c r="J31" s="821"/>
      <c r="K31" s="821"/>
      <c r="L31" s="821"/>
      <c r="M31" s="821"/>
      <c r="N31" s="821"/>
      <c r="O31" s="2609"/>
      <c r="P31" s="819"/>
      <c r="Q31" s="819"/>
      <c r="R31" s="819"/>
      <c r="S31" s="819"/>
    </row>
    <row r="32" spans="1:19" ht="15" customHeight="1">
      <c r="A32" s="819"/>
      <c r="B32" s="2612"/>
      <c r="C32" s="2612"/>
      <c r="D32" s="2612"/>
      <c r="E32" s="2612"/>
      <c r="F32" s="2612"/>
      <c r="G32" s="2612"/>
      <c r="H32" s="819"/>
      <c r="I32" s="2613" t="s">
        <v>155</v>
      </c>
      <c r="J32" s="2614" t="s">
        <v>1096</v>
      </c>
      <c r="K32" s="2615">
        <v>1</v>
      </c>
      <c r="L32" s="819"/>
      <c r="M32" s="822"/>
      <c r="N32" s="819"/>
      <c r="O32" s="2610"/>
      <c r="P32" s="2614" t="s">
        <v>2228</v>
      </c>
      <c r="Q32" s="819"/>
      <c r="R32" s="819"/>
      <c r="S32" s="819"/>
    </row>
    <row r="33" spans="1:19" ht="15" customHeight="1">
      <c r="A33" s="819"/>
      <c r="B33" s="2645" t="s">
        <v>1821</v>
      </c>
      <c r="C33" s="2645"/>
      <c r="D33" s="2645"/>
      <c r="E33" s="2645"/>
      <c r="F33" s="2645"/>
      <c r="G33" s="2645"/>
      <c r="H33" s="819"/>
      <c r="I33" s="2613"/>
      <c r="J33" s="2614"/>
      <c r="K33" s="2615"/>
      <c r="L33" s="819"/>
      <c r="M33" s="823"/>
      <c r="N33" s="819"/>
      <c r="O33" s="2645" t="s">
        <v>1821</v>
      </c>
      <c r="P33" s="2614"/>
      <c r="Q33" s="819"/>
      <c r="R33" s="819"/>
      <c r="S33" s="819"/>
    </row>
    <row r="34" spans="1:19" ht="15" customHeight="1">
      <c r="A34" s="819"/>
      <c r="B34" s="2646"/>
      <c r="C34" s="2646"/>
      <c r="D34" s="2646"/>
      <c r="E34" s="2646"/>
      <c r="F34" s="2646"/>
      <c r="G34" s="2646"/>
      <c r="H34" s="819"/>
      <c r="I34" s="1051"/>
      <c r="J34" s="1050"/>
      <c r="K34" s="1052"/>
      <c r="L34" s="819"/>
      <c r="M34" s="823"/>
      <c r="N34" s="819"/>
      <c r="O34" s="2646"/>
      <c r="P34" s="1050"/>
      <c r="Q34" s="819"/>
      <c r="R34" s="819"/>
      <c r="S34" s="819"/>
    </row>
    <row r="35" spans="1:19" ht="12" customHeight="1">
      <c r="A35" s="819"/>
      <c r="B35" s="824"/>
      <c r="C35" s="824"/>
      <c r="D35" s="824"/>
      <c r="E35" s="824"/>
      <c r="F35" s="824"/>
      <c r="G35" s="824"/>
      <c r="H35" s="825"/>
      <c r="I35" s="826"/>
      <c r="J35" s="827"/>
      <c r="K35" s="828"/>
      <c r="L35" s="825"/>
      <c r="M35" s="822"/>
      <c r="N35" s="825"/>
      <c r="O35" s="824"/>
      <c r="P35" s="827"/>
      <c r="Q35" s="825"/>
      <c r="R35" s="825"/>
      <c r="S35" s="819"/>
    </row>
    <row r="36" spans="1:19" ht="15" customHeight="1">
      <c r="A36" s="819"/>
      <c r="B36" s="1044"/>
      <c r="C36" s="1044"/>
      <c r="D36" s="1044"/>
      <c r="E36" s="1044"/>
      <c r="F36" s="1044"/>
      <c r="G36" s="1044"/>
      <c r="H36" s="819"/>
      <c r="I36" s="1042"/>
      <c r="J36" s="1041"/>
      <c r="K36" s="1043"/>
      <c r="L36" s="819"/>
      <c r="M36" s="823"/>
      <c r="N36" s="819"/>
      <c r="O36" s="1044"/>
      <c r="P36" s="1041"/>
      <c r="Q36" s="819"/>
      <c r="R36" s="819"/>
      <c r="S36" s="819"/>
    </row>
    <row r="37" spans="1:19" ht="15" customHeight="1">
      <c r="A37" s="829"/>
      <c r="B37" s="2618" t="s">
        <v>1809</v>
      </c>
      <c r="C37" s="2618"/>
      <c r="D37" s="2618"/>
      <c r="E37" s="2618"/>
      <c r="F37" s="830"/>
      <c r="G37" s="830"/>
      <c r="H37" s="831"/>
      <c r="I37" s="832"/>
      <c r="J37" s="832"/>
      <c r="P37" s="819"/>
      <c r="Q37" s="833"/>
      <c r="R37" s="833"/>
      <c r="S37" s="819"/>
    </row>
    <row r="38" spans="1:19" ht="15" customHeight="1">
      <c r="A38" s="819"/>
      <c r="B38" s="2623" t="s">
        <v>1827</v>
      </c>
      <c r="C38" s="2623"/>
      <c r="D38" s="2623"/>
      <c r="E38" s="2623"/>
      <c r="F38" s="1046"/>
      <c r="G38" s="834">
        <f>D110</f>
        <v>2830616.9124625674</v>
      </c>
      <c r="H38" s="835"/>
      <c r="I38" s="836"/>
      <c r="J38" s="835"/>
      <c r="L38" s="1327"/>
      <c r="M38" s="1327"/>
      <c r="N38" s="1327"/>
      <c r="O38" s="1327"/>
      <c r="P38" s="782"/>
      <c r="Q38" s="2608"/>
      <c r="R38" s="2608"/>
      <c r="S38" s="782"/>
    </row>
    <row r="39" spans="1:19" ht="15" customHeight="1">
      <c r="A39" s="597"/>
      <c r="B39" s="2624" t="s">
        <v>1420</v>
      </c>
      <c r="C39" s="2624"/>
      <c r="D39" s="2624"/>
      <c r="E39" s="2624"/>
      <c r="F39" s="1046"/>
      <c r="G39" s="1003"/>
      <c r="H39" s="835"/>
      <c r="I39" s="836"/>
      <c r="J39" s="835"/>
      <c r="L39" s="835"/>
      <c r="M39" s="833"/>
      <c r="N39" s="833"/>
      <c r="O39" s="833"/>
      <c r="P39" s="782"/>
      <c r="Q39" s="1183"/>
      <c r="R39" s="1183"/>
      <c r="S39" s="782"/>
    </row>
    <row r="40" spans="1:19" ht="15" customHeight="1">
      <c r="A40" s="597"/>
      <c r="B40" s="2624" t="s">
        <v>1421</v>
      </c>
      <c r="C40" s="2624"/>
      <c r="D40" s="2624"/>
      <c r="E40" s="2624"/>
      <c r="F40" s="1046"/>
      <c r="G40" s="1003"/>
      <c r="H40" s="835"/>
      <c r="I40" s="836"/>
      <c r="J40" s="835"/>
      <c r="K40" s="2607"/>
      <c r="L40" s="2607"/>
      <c r="M40" s="2607"/>
      <c r="N40" s="2607"/>
      <c r="O40" s="2607"/>
      <c r="P40" s="1075"/>
      <c r="Q40" s="2608"/>
      <c r="R40" s="2608"/>
      <c r="S40" s="819"/>
    </row>
    <row r="41" spans="1:19" ht="15" customHeight="1">
      <c r="A41" s="597"/>
      <c r="B41" s="2625" t="s">
        <v>1822</v>
      </c>
      <c r="C41" s="2625"/>
      <c r="D41" s="2625"/>
      <c r="E41" s="2625"/>
      <c r="F41" s="1046"/>
      <c r="G41" s="835"/>
      <c r="H41" s="835"/>
      <c r="I41" s="836"/>
      <c r="J41" s="835"/>
      <c r="K41" s="835"/>
      <c r="L41" s="835"/>
      <c r="M41" s="833"/>
      <c r="N41" s="833"/>
      <c r="O41" s="833"/>
      <c r="P41" s="782"/>
      <c r="Q41" s="837"/>
      <c r="R41" s="837"/>
      <c r="S41" s="819"/>
    </row>
    <row r="42" spans="1:19" ht="15" customHeight="1">
      <c r="A42" s="597"/>
      <c r="B42" s="1005" t="str">
        <f>Application!C630</f>
        <v>City of Fresno HOME Loan</v>
      </c>
      <c r="C42" s="1005"/>
      <c r="D42" s="998"/>
      <c r="E42" s="1049">
        <f>Application!AO630</f>
        <v>1633112</v>
      </c>
      <c r="F42" s="1046"/>
      <c r="G42" s="835"/>
      <c r="H42" s="835"/>
      <c r="I42" s="836"/>
      <c r="J42" s="835"/>
      <c r="K42" s="2607"/>
      <c r="L42" s="2607"/>
      <c r="M42" s="2607"/>
      <c r="N42" s="2607"/>
      <c r="O42" s="2607"/>
      <c r="P42" s="1075"/>
      <c r="Q42" s="2608"/>
      <c r="R42" s="2608"/>
      <c r="S42" s="819"/>
    </row>
    <row r="43" spans="1:19" ht="15" customHeight="1">
      <c r="A43" s="597"/>
      <c r="B43" s="1005" t="str">
        <f>Application!C632</f>
        <v>Fresno HA Loan</v>
      </c>
      <c r="C43" s="1005"/>
      <c r="D43" s="814"/>
      <c r="E43" s="1315">
        <f>Application!AO632</f>
        <v>1000000</v>
      </c>
      <c r="F43" s="1046"/>
      <c r="G43" s="835"/>
      <c r="H43" s="835"/>
      <c r="I43" s="836"/>
      <c r="J43" s="835"/>
      <c r="L43" s="835"/>
      <c r="M43" s="833"/>
      <c r="N43" s="833"/>
      <c r="O43" s="833"/>
      <c r="P43" s="782"/>
      <c r="Q43" s="837"/>
      <c r="R43" s="837"/>
      <c r="S43" s="819"/>
    </row>
    <row r="44" spans="1:19" ht="15" customHeight="1">
      <c r="A44" s="597"/>
      <c r="B44" s="1005" t="str">
        <f>Application!C633</f>
        <v>HCD IIG (Sponsor Loan)</v>
      </c>
      <c r="C44" s="1005"/>
      <c r="D44" s="814"/>
      <c r="E44" s="1049">
        <f>Application!AO633</f>
        <v>1833700</v>
      </c>
      <c r="F44" s="1046"/>
      <c r="G44" s="835"/>
      <c r="H44" s="835"/>
      <c r="I44" s="836"/>
      <c r="K44" s="1333" t="s">
        <v>2108</v>
      </c>
      <c r="P44" s="1075"/>
      <c r="Q44" s="2608"/>
      <c r="R44" s="2608"/>
      <c r="S44" s="819"/>
    </row>
    <row r="45" spans="1:19" ht="15" customHeight="1">
      <c r="A45" s="597"/>
      <c r="B45" s="1005" t="str">
        <f>Application!C634</f>
        <v>NPLH Capital</v>
      </c>
      <c r="C45" s="1005"/>
      <c r="D45" s="814"/>
      <c r="E45" s="1049">
        <f>Application!AO634</f>
        <v>3499685</v>
      </c>
      <c r="F45" s="1046"/>
      <c r="G45" s="835"/>
      <c r="H45" s="835"/>
      <c r="I45" s="836"/>
      <c r="K45" s="1334" t="s">
        <v>2103</v>
      </c>
      <c r="L45" s="1334"/>
      <c r="M45" s="835"/>
      <c r="N45" s="835"/>
      <c r="O45" s="835"/>
      <c r="P45" s="835"/>
      <c r="Q45" s="597"/>
      <c r="R45" s="597"/>
      <c r="S45" s="819"/>
    </row>
    <row r="46" spans="1:19" ht="15" customHeight="1">
      <c r="A46" s="597"/>
      <c r="B46" s="1005"/>
      <c r="C46" s="1005"/>
      <c r="D46" s="814"/>
      <c r="E46" s="1049"/>
      <c r="F46" s="1046"/>
      <c r="G46" s="835"/>
      <c r="H46" s="835"/>
      <c r="I46" s="836"/>
      <c r="J46" s="835"/>
      <c r="K46" s="2600" t="s">
        <v>2104</v>
      </c>
      <c r="L46" s="2600"/>
      <c r="M46" s="2600"/>
      <c r="N46" s="2600"/>
      <c r="O46" s="2600"/>
      <c r="P46" s="819"/>
      <c r="Q46" s="2603"/>
      <c r="R46" s="2603"/>
      <c r="S46" s="819"/>
    </row>
    <row r="47" spans="1:19" ht="15" customHeight="1">
      <c r="A47" s="597"/>
      <c r="B47" s="1005"/>
      <c r="C47" s="1005"/>
      <c r="D47" s="814"/>
      <c r="E47" s="1049"/>
      <c r="F47" s="1046"/>
      <c r="G47" s="835"/>
      <c r="H47" s="835"/>
      <c r="I47" s="836"/>
      <c r="J47" s="835"/>
      <c r="K47" s="2606" t="s">
        <v>2105</v>
      </c>
      <c r="L47" s="2606"/>
      <c r="M47" s="2606"/>
      <c r="N47" s="2606"/>
      <c r="O47" s="2606"/>
      <c r="P47" s="819"/>
      <c r="Q47" s="2605"/>
      <c r="R47" s="2605"/>
      <c r="S47" s="819"/>
    </row>
    <row r="48" spans="1:19" ht="15" customHeight="1">
      <c r="A48" s="597"/>
      <c r="B48" s="1005"/>
      <c r="C48" s="1005"/>
      <c r="D48" s="814"/>
      <c r="E48" s="1049"/>
      <c r="F48" s="1046"/>
      <c r="G48" s="835"/>
      <c r="H48" s="835"/>
      <c r="I48" s="836"/>
      <c r="J48" s="835"/>
      <c r="K48" s="2604" t="s">
        <v>2106</v>
      </c>
      <c r="L48" s="2604"/>
      <c r="M48" s="2604"/>
      <c r="N48" s="2604"/>
      <c r="O48" s="2604"/>
      <c r="P48" s="819"/>
      <c r="Q48" s="2600">
        <f>Q46+Q47</f>
        <v>0</v>
      </c>
      <c r="R48" s="2600"/>
      <c r="S48" s="819"/>
    </row>
    <row r="49" spans="1:29" ht="15" customHeight="1">
      <c r="A49" s="597"/>
      <c r="B49" s="1005"/>
      <c r="C49" s="1005"/>
      <c r="D49" s="814"/>
      <c r="E49" s="1049"/>
      <c r="F49" s="1046"/>
      <c r="G49" s="835"/>
      <c r="H49" s="835"/>
      <c r="I49" s="836"/>
      <c r="J49" s="835"/>
      <c r="K49" s="597"/>
      <c r="L49" s="597"/>
      <c r="M49" s="597"/>
      <c r="N49" s="597"/>
      <c r="O49" s="597"/>
      <c r="P49" s="597"/>
      <c r="Q49" s="597"/>
      <c r="R49" s="597"/>
      <c r="S49" s="819"/>
    </row>
    <row r="50" spans="1:29" ht="15" customHeight="1">
      <c r="A50" s="597"/>
      <c r="B50" s="1001" t="s">
        <v>1916</v>
      </c>
      <c r="C50" s="1001"/>
      <c r="D50" s="1004"/>
      <c r="E50" s="1002">
        <f>'Sources and Uses Budget'!B15</f>
        <v>0</v>
      </c>
      <c r="F50" s="1046"/>
      <c r="G50" s="835"/>
      <c r="H50" s="835"/>
      <c r="I50" s="836"/>
      <c r="J50" s="835"/>
      <c r="K50" s="597"/>
      <c r="L50" s="597"/>
      <c r="M50" s="597"/>
      <c r="N50" s="597"/>
      <c r="O50" s="597"/>
      <c r="P50" s="597"/>
      <c r="Q50" s="597"/>
      <c r="R50" s="597"/>
      <c r="S50" s="819"/>
    </row>
    <row r="51" spans="1:29" ht="15" customHeight="1">
      <c r="A51" s="597"/>
      <c r="B51" s="1000" t="s">
        <v>1489</v>
      </c>
      <c r="C51" s="1000"/>
      <c r="D51" s="1004"/>
      <c r="E51" s="1002">
        <v>100000</v>
      </c>
      <c r="F51" s="1046"/>
      <c r="G51" s="835"/>
      <c r="H51" s="835"/>
      <c r="I51" s="836"/>
      <c r="J51" s="835"/>
      <c r="K51" s="597"/>
      <c r="L51" s="597"/>
      <c r="M51" s="597"/>
      <c r="N51" s="597"/>
      <c r="O51" s="597"/>
      <c r="P51" s="597"/>
      <c r="Q51" s="597"/>
      <c r="R51" s="597"/>
      <c r="S51" s="819"/>
    </row>
    <row r="52" spans="1:29" s="818" customFormat="1" ht="15" customHeight="1">
      <c r="B52" s="2623" t="s">
        <v>1818</v>
      </c>
      <c r="C52" s="2623"/>
      <c r="D52" s="2623"/>
      <c r="E52" s="2623"/>
      <c r="F52" s="1046"/>
      <c r="G52" s="834">
        <f>SUM(E42:E49)-ABS(E50)-ABS(E51)</f>
        <v>7866497</v>
      </c>
      <c r="H52" s="835"/>
      <c r="I52" s="836"/>
      <c r="J52" s="835"/>
    </row>
    <row r="53" spans="1:29" ht="15" customHeight="1">
      <c r="A53" s="597"/>
      <c r="B53" s="819"/>
      <c r="C53" s="840"/>
      <c r="D53" s="840" t="s">
        <v>974</v>
      </c>
      <c r="E53" s="841"/>
      <c r="F53" s="841"/>
      <c r="G53" s="842">
        <f>SUM(G38:G40)+G52</f>
        <v>10697113.912462568</v>
      </c>
      <c r="H53" s="838"/>
      <c r="I53" s="836"/>
      <c r="J53" s="835"/>
      <c r="K53" s="835"/>
      <c r="L53" s="835"/>
      <c r="M53" s="819"/>
      <c r="N53" s="819"/>
      <c r="O53" s="819"/>
      <c r="P53" s="819"/>
      <c r="Q53" s="819"/>
      <c r="R53" s="819"/>
      <c r="S53" s="819"/>
    </row>
    <row r="54" spans="1:29" ht="15" customHeight="1">
      <c r="A54" s="597"/>
      <c r="B54" s="843"/>
      <c r="C54" s="843"/>
      <c r="D54" s="843"/>
      <c r="E54" s="843"/>
      <c r="F54" s="843"/>
      <c r="G54" s="843"/>
      <c r="H54" s="825"/>
      <c r="I54" s="839"/>
      <c r="J54" s="839"/>
      <c r="K54" s="839"/>
      <c r="L54" s="839"/>
      <c r="M54" s="839"/>
      <c r="N54" s="839"/>
      <c r="O54" s="825"/>
      <c r="P54" s="825"/>
      <c r="Q54" s="825"/>
      <c r="R54" s="825"/>
      <c r="S54" s="819"/>
    </row>
    <row r="55" spans="1:29" ht="15" customHeight="1">
      <c r="A55" s="597"/>
      <c r="B55" s="1046"/>
      <c r="C55" s="1046"/>
      <c r="D55" s="1046"/>
      <c r="E55" s="1046"/>
      <c r="F55" s="1046"/>
      <c r="G55" s="1046"/>
      <c r="H55" s="1046"/>
      <c r="I55" s="1046"/>
      <c r="J55" s="1046"/>
      <c r="K55" s="1046"/>
      <c r="L55" s="1046"/>
      <c r="M55" s="1046"/>
      <c r="N55" s="1046"/>
      <c r="O55" s="1046"/>
      <c r="P55" s="1046"/>
      <c r="Q55" s="819"/>
      <c r="R55" s="819"/>
      <c r="S55" s="819"/>
      <c r="U55" s="1261" t="s">
        <v>136</v>
      </c>
      <c r="AC55" s="1261" t="s">
        <v>1078</v>
      </c>
    </row>
    <row r="56" spans="1:29" ht="15" customHeight="1">
      <c r="A56" s="597"/>
      <c r="B56" s="2626" t="s">
        <v>1399</v>
      </c>
      <c r="C56" s="2626"/>
      <c r="D56" s="1046"/>
      <c r="E56" s="1046"/>
      <c r="F56" s="1046"/>
      <c r="G56" s="1046"/>
      <c r="H56" s="1046"/>
      <c r="I56" s="1046"/>
      <c r="J56" s="1046"/>
      <c r="K56" s="1046"/>
      <c r="L56" s="1046"/>
      <c r="M56" s="1046"/>
      <c r="N56" s="1046"/>
      <c r="O56" s="1046"/>
      <c r="P56" s="1046"/>
      <c r="Q56" s="819"/>
      <c r="R56" s="819"/>
      <c r="S56" s="819"/>
      <c r="U56" s="1260" t="s">
        <v>2032</v>
      </c>
      <c r="AC56" s="1314">
        <v>0.2</v>
      </c>
    </row>
    <row r="57" spans="1:29" ht="15" customHeight="1">
      <c r="A57" s="838"/>
      <c r="B57" s="2627" t="s">
        <v>1812</v>
      </c>
      <c r="C57" s="2627"/>
      <c r="D57" s="2627"/>
      <c r="E57" s="2627"/>
      <c r="F57" s="2627"/>
      <c r="G57" s="2627"/>
      <c r="H57" s="2627"/>
      <c r="I57" s="2627"/>
      <c r="J57" s="2627"/>
      <c r="K57" s="2627"/>
      <c r="L57" s="2627"/>
      <c r="M57" s="2627"/>
      <c r="N57" s="2627"/>
      <c r="O57" s="2627"/>
      <c r="P57" s="1046"/>
      <c r="Q57" s="819"/>
      <c r="R57" s="819"/>
      <c r="S57" s="819"/>
      <c r="U57" s="1260" t="s">
        <v>2033</v>
      </c>
      <c r="AC57" s="1314">
        <v>0.1</v>
      </c>
    </row>
    <row r="58" spans="1:29" ht="15" customHeight="1">
      <c r="A58" s="819"/>
      <c r="B58" s="2618" t="s">
        <v>1811</v>
      </c>
      <c r="C58" s="2619"/>
      <c r="D58" s="2619"/>
      <c r="E58" s="2619"/>
      <c r="F58" s="845"/>
      <c r="G58" s="845"/>
      <c r="H58" s="846"/>
      <c r="I58" s="846"/>
      <c r="J58" s="2620">
        <f>('Sources and Uses Budget'!D104+Q47)/('Sources and Uses Budget'!B104+Q48)</f>
        <v>3.1528858265030088E-2</v>
      </c>
      <c r="K58" s="2621"/>
      <c r="L58" s="2621"/>
      <c r="M58" s="2621"/>
      <c r="N58" s="2622"/>
      <c r="O58" s="846"/>
      <c r="P58" s="846"/>
      <c r="Q58" s="819"/>
      <c r="R58" s="819"/>
      <c r="S58" s="819"/>
      <c r="U58" s="1260" t="s">
        <v>2034</v>
      </c>
      <c r="AC58" s="1314">
        <v>0.1</v>
      </c>
    </row>
    <row r="59" spans="1:29" ht="15" customHeight="1">
      <c r="A59" s="819"/>
      <c r="B59" s="2628" t="s">
        <v>2037</v>
      </c>
      <c r="C59" s="2628"/>
      <c r="D59" s="2628"/>
      <c r="E59" s="2628"/>
      <c r="F59" s="2628"/>
      <c r="G59" s="2628"/>
      <c r="H59" s="2628"/>
      <c r="I59" s="2628"/>
      <c r="J59" s="2628"/>
      <c r="K59" s="2628"/>
      <c r="L59" s="2628"/>
      <c r="M59" s="2628"/>
      <c r="N59" s="2628"/>
      <c r="O59" s="2628"/>
      <c r="P59" s="846"/>
      <c r="Q59" s="819"/>
      <c r="R59" s="819"/>
      <c r="S59" s="819"/>
      <c r="U59" s="1260" t="s">
        <v>2035</v>
      </c>
      <c r="AC59" s="1314">
        <v>0.05</v>
      </c>
    </row>
    <row r="60" spans="1:29" ht="15" customHeight="1" thickBot="1">
      <c r="A60" s="819"/>
      <c r="B60" s="2628"/>
      <c r="C60" s="2628"/>
      <c r="D60" s="2628"/>
      <c r="E60" s="2628"/>
      <c r="F60" s="2628"/>
      <c r="G60" s="2628"/>
      <c r="H60" s="2628"/>
      <c r="I60" s="2628"/>
      <c r="J60" s="2628"/>
      <c r="K60" s="2628"/>
      <c r="L60" s="2628"/>
      <c r="M60" s="2628"/>
      <c r="N60" s="2628"/>
      <c r="O60" s="2628"/>
      <c r="P60" s="846"/>
      <c r="Q60" s="819"/>
      <c r="R60" s="819"/>
      <c r="S60" s="819"/>
      <c r="U60" s="1261"/>
      <c r="AC60" s="1262"/>
    </row>
    <row r="61" spans="1:29" ht="15" customHeight="1">
      <c r="A61" s="819"/>
      <c r="B61" s="2629" t="s">
        <v>1813</v>
      </c>
      <c r="C61" s="2629"/>
      <c r="D61" s="2629"/>
      <c r="E61" s="2629"/>
      <c r="F61" s="2629"/>
      <c r="G61" s="2629"/>
      <c r="H61" s="2629"/>
      <c r="I61" s="2629"/>
      <c r="J61" s="2629"/>
      <c r="K61" s="2629"/>
      <c r="L61" s="2629"/>
      <c r="M61" s="2629"/>
      <c r="N61" s="2629"/>
      <c r="O61" s="2629"/>
      <c r="P61" s="846"/>
      <c r="Q61" s="819"/>
      <c r="R61" s="819"/>
      <c r="S61" s="819"/>
      <c r="U61" s="2594">
        <f>IF(J67="Non-rural project, Census Tract is Highest Resource (20 percentage points)",AC56,0)</f>
        <v>0</v>
      </c>
    </row>
    <row r="62" spans="1:29" ht="15" customHeight="1" thickBot="1">
      <c r="A62" s="819"/>
      <c r="B62" s="825"/>
      <c r="C62" s="825"/>
      <c r="D62" s="825"/>
      <c r="E62" s="825"/>
      <c r="F62" s="825"/>
      <c r="G62" s="825"/>
      <c r="H62" s="825"/>
      <c r="I62" s="825"/>
      <c r="J62" s="825"/>
      <c r="K62" s="825"/>
      <c r="L62" s="825"/>
      <c r="M62" s="825"/>
      <c r="N62" s="825"/>
      <c r="O62" s="825"/>
      <c r="P62" s="825"/>
      <c r="Q62" s="825"/>
      <c r="R62" s="825"/>
      <c r="S62" s="819"/>
      <c r="U62" s="2595"/>
    </row>
    <row r="63" spans="1:29" ht="15" customHeight="1">
      <c r="A63" s="819"/>
      <c r="B63" s="833"/>
      <c r="C63" s="833"/>
      <c r="D63" s="833"/>
      <c r="E63" s="1333"/>
      <c r="F63" s="833"/>
      <c r="G63" s="833"/>
      <c r="H63" s="833"/>
      <c r="I63" s="1270"/>
      <c r="J63" s="2634" t="s">
        <v>2229</v>
      </c>
      <c r="K63" s="2635"/>
      <c r="L63" s="2635"/>
      <c r="M63" s="2635"/>
      <c r="N63" s="2635"/>
      <c r="O63" s="2635"/>
      <c r="P63" s="2635"/>
      <c r="Q63" s="2635"/>
      <c r="R63" s="2635"/>
      <c r="S63" s="819"/>
      <c r="U63" s="2594">
        <f>IF(J67="Non-rural project, Census Tract is High Resource (10 percentage points)",AC57,0)</f>
        <v>0</v>
      </c>
    </row>
    <row r="64" spans="1:29" ht="15" customHeight="1" thickBot="1">
      <c r="A64" s="819"/>
      <c r="B64" s="2630" t="s">
        <v>1823</v>
      </c>
      <c r="C64" s="2630"/>
      <c r="D64" s="833"/>
      <c r="F64" s="833"/>
      <c r="G64" s="1335" t="s">
        <v>2107</v>
      </c>
      <c r="H64" s="833"/>
      <c r="I64" s="1271"/>
      <c r="J64" s="2636"/>
      <c r="K64" s="2637"/>
      <c r="L64" s="2637"/>
      <c r="M64" s="2637"/>
      <c r="N64" s="2637"/>
      <c r="O64" s="2637"/>
      <c r="P64" s="2637"/>
      <c r="Q64" s="2637"/>
      <c r="R64" s="2637"/>
      <c r="S64" s="819"/>
      <c r="U64" s="2595"/>
    </row>
    <row r="65" spans="1:22" ht="15" customHeight="1">
      <c r="A65" s="819"/>
      <c r="B65" s="848" t="s">
        <v>1816</v>
      </c>
      <c r="C65" s="1011" t="str">
        <f>IF(Application!M349="Yes","Yes","No")</f>
        <v>Yes</v>
      </c>
      <c r="E65" s="1336"/>
      <c r="F65" s="1336"/>
      <c r="G65" s="1337" t="s">
        <v>2109</v>
      </c>
      <c r="H65" s="833"/>
      <c r="I65" s="1271"/>
      <c r="J65" s="2636"/>
      <c r="K65" s="2637"/>
      <c r="L65" s="2637"/>
      <c r="M65" s="2637"/>
      <c r="N65" s="2637"/>
      <c r="O65" s="2637"/>
      <c r="P65" s="2637"/>
      <c r="Q65" s="2637"/>
      <c r="R65" s="2637"/>
      <c r="S65" s="819"/>
      <c r="U65" s="2594">
        <f>IF(J67="Rural project, Census Tract is Highest Resource (10 percentage points)",AC58,0)</f>
        <v>0</v>
      </c>
    </row>
    <row r="66" spans="1:22" ht="15" customHeight="1" thickBot="1">
      <c r="A66" s="819"/>
      <c r="B66" s="849" t="s">
        <v>1900</v>
      </c>
      <c r="C66" s="1012">
        <f>Application!AG430-Application!AG431</f>
        <v>41</v>
      </c>
      <c r="D66" s="1336"/>
      <c r="E66" s="849" t="s">
        <v>2110</v>
      </c>
      <c r="F66" s="1336"/>
      <c r="G66" s="1059"/>
      <c r="H66" s="850"/>
      <c r="I66" s="1272"/>
      <c r="J66" s="2636"/>
      <c r="K66" s="2637"/>
      <c r="L66" s="2637"/>
      <c r="M66" s="2637"/>
      <c r="N66" s="2637"/>
      <c r="O66" s="2637"/>
      <c r="P66" s="2637"/>
      <c r="Q66" s="2637"/>
      <c r="R66" s="2637"/>
      <c r="S66" s="819"/>
      <c r="U66" s="2595"/>
    </row>
    <row r="67" spans="1:22" ht="15" customHeight="1">
      <c r="A67" s="819"/>
      <c r="B67" s="849" t="s">
        <v>1810</v>
      </c>
      <c r="C67" s="1013">
        <f>MIN(IF(AND(C65="Yes",G67&gt;=50),(0.75+(G67/200)),1),1.5)</f>
        <v>1</v>
      </c>
      <c r="D67" s="850"/>
      <c r="E67" s="849" t="s">
        <v>1901</v>
      </c>
      <c r="G67" s="1012">
        <f>C66+G66</f>
        <v>41</v>
      </c>
      <c r="H67" s="850"/>
      <c r="I67" s="1272"/>
      <c r="J67" s="2633" t="s">
        <v>136</v>
      </c>
      <c r="K67" s="2633"/>
      <c r="L67" s="2633"/>
      <c r="M67" s="2633"/>
      <c r="N67" s="2633"/>
      <c r="O67" s="2633"/>
      <c r="P67" s="2633"/>
      <c r="Q67" s="2633"/>
      <c r="R67" s="2633"/>
      <c r="S67" s="819"/>
      <c r="U67" s="2594">
        <f>IF(J67="Rural project, Census Tract is High Resource (5 percentage points)",AC59,0)</f>
        <v>0</v>
      </c>
    </row>
    <row r="68" spans="1:22" ht="15" customHeight="1" thickBot="1">
      <c r="A68" s="819"/>
      <c r="B68" s="825"/>
      <c r="C68" s="825"/>
      <c r="D68" s="825"/>
      <c r="E68" s="825"/>
      <c r="F68" s="825"/>
      <c r="G68" s="825"/>
      <c r="H68" s="825"/>
      <c r="I68" s="1273"/>
      <c r="J68" s="825"/>
      <c r="K68" s="825"/>
      <c r="L68" s="825"/>
      <c r="M68" s="825"/>
      <c r="N68" s="825"/>
      <c r="O68" s="825"/>
      <c r="P68" s="825"/>
      <c r="Q68" s="825"/>
      <c r="R68" s="825"/>
      <c r="S68" s="819"/>
      <c r="U68" s="2595"/>
    </row>
    <row r="69" spans="1:22" ht="15" customHeight="1">
      <c r="A69" s="819"/>
      <c r="B69" s="819"/>
      <c r="C69" s="819"/>
      <c r="D69" s="819"/>
      <c r="E69" s="819"/>
      <c r="F69" s="819"/>
      <c r="G69" s="819"/>
      <c r="H69" s="819"/>
      <c r="I69" s="819"/>
      <c r="J69" s="819"/>
      <c r="K69" s="819"/>
      <c r="L69" s="819"/>
      <c r="M69" s="819"/>
      <c r="N69" s="819"/>
      <c r="O69" s="819"/>
      <c r="P69" s="819"/>
      <c r="Q69" s="819"/>
      <c r="R69" s="819"/>
      <c r="S69" s="819"/>
      <c r="U69" s="2598">
        <f>SUM(U61:U68)</f>
        <v>0</v>
      </c>
    </row>
    <row r="70" spans="1:22" ht="15" customHeight="1" thickBot="1">
      <c r="A70" s="819"/>
      <c r="B70" s="2631" t="s">
        <v>1820</v>
      </c>
      <c r="C70" s="2631"/>
      <c r="D70" s="820"/>
      <c r="E70" s="820"/>
      <c r="F70" s="820"/>
      <c r="G70" s="820"/>
      <c r="H70" s="819"/>
      <c r="I70" s="819"/>
      <c r="J70" s="819"/>
      <c r="K70" s="819"/>
      <c r="L70" s="819"/>
      <c r="M70" s="819"/>
      <c r="N70" s="819"/>
      <c r="O70" s="819"/>
      <c r="P70" s="819"/>
      <c r="Q70" s="819"/>
      <c r="R70" s="819"/>
      <c r="S70" s="819"/>
      <c r="U70" s="2599"/>
      <c r="V70" s="638" t="s">
        <v>2036</v>
      </c>
    </row>
    <row r="71" spans="1:22" ht="15" customHeight="1">
      <c r="A71" s="819"/>
      <c r="B71" s="2632" t="s">
        <v>1824</v>
      </c>
      <c r="C71" s="2632"/>
      <c r="D71" s="2632"/>
      <c r="E71" s="820"/>
      <c r="F71" s="820"/>
      <c r="G71" s="834">
        <f>G53*(1-J58)</f>
        <v>10359846.124071654</v>
      </c>
      <c r="H71" s="819"/>
      <c r="I71" s="819"/>
      <c r="J71" s="852"/>
      <c r="K71" s="1168" t="s">
        <v>1826</v>
      </c>
      <c r="L71" s="1168"/>
      <c r="M71" s="1168"/>
      <c r="N71" s="1168"/>
      <c r="O71" s="1168"/>
      <c r="P71" s="819"/>
      <c r="Q71" s="2600">
        <f>'Basis &amp; Credits'!T23+'Basis &amp; Credits'!Y23+'Basis &amp; Credits'!AD23+'Basis &amp; Credits'!AI23</f>
        <v>16571512</v>
      </c>
      <c r="R71" s="2600"/>
      <c r="S71" s="819"/>
    </row>
    <row r="72" spans="1:22" ht="15" customHeight="1">
      <c r="A72" s="819"/>
      <c r="B72" s="2638" t="s">
        <v>1825</v>
      </c>
      <c r="C72" s="2638"/>
      <c r="D72" s="2638"/>
      <c r="E72" s="820"/>
      <c r="F72" s="820"/>
      <c r="G72" s="834">
        <f>G71*C67</f>
        <v>10359846.124071654</v>
      </c>
      <c r="H72" s="819"/>
      <c r="I72" s="819"/>
      <c r="J72" s="852"/>
      <c r="K72" s="1274"/>
      <c r="L72" s="1274"/>
      <c r="M72" s="1274"/>
      <c r="N72" s="1274"/>
      <c r="O72" s="1274"/>
      <c r="P72" s="819"/>
      <c r="Q72" s="2608"/>
      <c r="R72" s="2608"/>
      <c r="S72" s="819"/>
    </row>
    <row r="73" spans="1:22" ht="15" customHeight="1">
      <c r="A73" s="819"/>
      <c r="B73" s="1006"/>
      <c r="C73" s="1007"/>
      <c r="D73" s="1008"/>
      <c r="E73" s="820"/>
      <c r="F73" s="820"/>
      <c r="G73" s="835"/>
      <c r="H73" s="819"/>
      <c r="I73" s="819"/>
      <c r="J73" s="852"/>
      <c r="K73" s="782"/>
      <c r="L73" s="782"/>
      <c r="M73" s="782"/>
      <c r="N73" s="782"/>
      <c r="O73" s="782"/>
      <c r="P73" s="782"/>
      <c r="Q73" s="782"/>
      <c r="R73" s="782"/>
      <c r="S73" s="819"/>
    </row>
    <row r="74" spans="1:22" ht="15" customHeight="1" thickBot="1">
      <c r="A74" s="819"/>
      <c r="B74" s="847"/>
      <c r="C74" s="847"/>
      <c r="D74" s="847"/>
      <c r="E74" s="847"/>
      <c r="F74" s="847"/>
      <c r="G74" s="847"/>
      <c r="H74" s="819"/>
      <c r="I74" s="819"/>
      <c r="J74" s="819"/>
      <c r="K74" s="819"/>
      <c r="L74" s="819"/>
      <c r="M74" s="819"/>
      <c r="N74" s="819"/>
      <c r="O74" s="819"/>
      <c r="P74" s="819"/>
      <c r="Q74" s="819"/>
      <c r="R74" s="819"/>
      <c r="S74" s="819"/>
    </row>
    <row r="75" spans="1:22" ht="15" customHeight="1">
      <c r="A75" s="838"/>
      <c r="B75" s="2639">
        <f>$G$72</f>
        <v>10359846.124071654</v>
      </c>
      <c r="C75" s="2640"/>
      <c r="D75" s="2640"/>
      <c r="E75" s="2640"/>
      <c r="F75" s="2640"/>
      <c r="G75" s="2640"/>
      <c r="H75" s="853"/>
      <c r="I75" s="2613" t="s">
        <v>155</v>
      </c>
      <c r="J75" s="2614" t="s">
        <v>1096</v>
      </c>
      <c r="K75" s="2613">
        <v>1</v>
      </c>
      <c r="L75" s="819"/>
      <c r="M75" s="825"/>
      <c r="N75" s="851"/>
      <c r="O75" s="1061">
        <f>$Q$71</f>
        <v>16571512</v>
      </c>
      <c r="P75" s="2614" t="s">
        <v>2228</v>
      </c>
      <c r="Q75" s="2641" t="s">
        <v>154</v>
      </c>
      <c r="R75" s="2596">
        <f>((B75/B76)+((1-(O75/O76))/2))+U69</f>
        <v>0.58920574528232583</v>
      </c>
    </row>
    <row r="76" spans="1:22" ht="15" customHeight="1" thickBot="1">
      <c r="A76" s="819"/>
      <c r="B76" s="2642">
        <f>'Sources and Uses Budget'!$C$104+$Q$46-($E$50+$E$51)*(1-$J$58)</f>
        <v>23250633.885826502</v>
      </c>
      <c r="C76" s="2643"/>
      <c r="D76" s="2643"/>
      <c r="E76" s="2643"/>
      <c r="F76" s="2643"/>
      <c r="G76" s="2642"/>
      <c r="H76" s="819"/>
      <c r="I76" s="2613"/>
      <c r="J76" s="2614"/>
      <c r="K76" s="2613"/>
      <c r="L76" s="819"/>
      <c r="M76" s="1042"/>
      <c r="N76" s="819"/>
      <c r="O76" s="1060">
        <f>B76</f>
        <v>23250633.885826502</v>
      </c>
      <c r="P76" s="2614"/>
      <c r="Q76" s="2641"/>
      <c r="R76" s="2597"/>
    </row>
    <row r="77" spans="1:22" ht="15" customHeight="1">
      <c r="A77" s="819"/>
      <c r="B77" s="825"/>
      <c r="C77" s="825"/>
      <c r="D77" s="825"/>
      <c r="E77" s="825"/>
      <c r="F77" s="825"/>
      <c r="G77" s="825"/>
      <c r="H77" s="825"/>
      <c r="I77" s="825"/>
      <c r="J77" s="825"/>
      <c r="K77" s="825"/>
      <c r="L77" s="825"/>
      <c r="M77" s="825"/>
      <c r="N77" s="825"/>
      <c r="O77" s="825"/>
      <c r="P77" s="825"/>
      <c r="Q77" s="825"/>
      <c r="S77" s="819"/>
    </row>
    <row r="78" spans="1:22" ht="15" customHeight="1">
      <c r="A78" s="819"/>
      <c r="S78" s="819"/>
    </row>
    <row r="79" spans="1:22" ht="15" customHeight="1">
      <c r="A79" s="819"/>
      <c r="B79" s="1167" t="s">
        <v>1819</v>
      </c>
      <c r="C79" s="833"/>
      <c r="D79" s="833"/>
      <c r="E79" s="833"/>
      <c r="F79" s="833"/>
      <c r="G79" s="833"/>
      <c r="H79" s="833"/>
      <c r="I79" s="833"/>
      <c r="J79" s="833"/>
      <c r="K79" s="833"/>
      <c r="L79" s="833"/>
      <c r="M79" s="833"/>
      <c r="N79" s="833"/>
      <c r="O79" s="833"/>
      <c r="P79" s="833"/>
      <c r="Q79" s="833"/>
      <c r="R79" s="833"/>
      <c r="S79" s="819"/>
    </row>
    <row r="80" spans="1:22" ht="15" customHeight="1">
      <c r="A80" s="819"/>
      <c r="C80" s="1167"/>
      <c r="D80" s="1167"/>
      <c r="E80" s="1167"/>
      <c r="F80" s="1167"/>
      <c r="G80" s="1167"/>
      <c r="H80" s="1167"/>
      <c r="I80" s="1167"/>
      <c r="J80" s="1167"/>
      <c r="K80" s="1167"/>
      <c r="L80" s="1167"/>
      <c r="M80" s="1167"/>
      <c r="N80" s="1167"/>
      <c r="O80" s="1167"/>
      <c r="P80" s="819"/>
      <c r="Q80" s="819"/>
      <c r="R80" s="819"/>
      <c r="S80" s="819"/>
    </row>
    <row r="81" spans="1:19" ht="15" customHeight="1">
      <c r="A81" s="819"/>
      <c r="B81" s="796" t="s">
        <v>2101</v>
      </c>
      <c r="C81" s="1048"/>
      <c r="D81" s="1048"/>
      <c r="E81" s="1048"/>
      <c r="F81" s="1048"/>
      <c r="G81" s="819"/>
      <c r="H81" s="1048"/>
      <c r="I81" s="836"/>
      <c r="J81" s="1048"/>
      <c r="K81" s="796" t="s">
        <v>2102</v>
      </c>
      <c r="L81" s="1048"/>
      <c r="M81" s="1048"/>
      <c r="N81" s="1048"/>
      <c r="O81" s="1048"/>
      <c r="P81" s="819"/>
      <c r="Q81" s="819"/>
      <c r="R81" s="819"/>
      <c r="S81" s="819"/>
    </row>
    <row r="82" spans="1:19" ht="15" customHeight="1">
      <c r="A82" s="819"/>
      <c r="B82" s="1291" t="s">
        <v>2042</v>
      </c>
      <c r="C82" s="1280"/>
      <c r="D82" s="1275"/>
      <c r="E82" s="1280"/>
      <c r="F82" s="1280"/>
      <c r="G82" s="1282"/>
      <c r="H82" s="819"/>
      <c r="I82" s="836"/>
      <c r="J82" s="819"/>
      <c r="L82" s="819"/>
      <c r="M82" s="819"/>
      <c r="N82" s="819"/>
      <c r="O82" s="819"/>
      <c r="P82" s="819"/>
      <c r="Q82" s="819"/>
      <c r="R82" s="819"/>
      <c r="S82" s="819"/>
    </row>
    <row r="83" spans="1:19" ht="15" customHeight="1">
      <c r="A83" s="819"/>
      <c r="B83" s="1289" t="s">
        <v>2045</v>
      </c>
      <c r="C83" s="1280"/>
      <c r="D83" s="1281"/>
      <c r="E83" s="1278"/>
      <c r="F83" s="1278"/>
      <c r="G83" s="1282"/>
      <c r="H83" s="819"/>
      <c r="I83" s="836"/>
      <c r="J83" s="819"/>
      <c r="K83" s="1263" t="s">
        <v>1902</v>
      </c>
      <c r="L83" s="819"/>
      <c r="M83" s="819"/>
      <c r="N83" s="819"/>
      <c r="O83" s="819"/>
      <c r="P83" s="819"/>
      <c r="Q83" s="819"/>
      <c r="R83" s="819"/>
      <c r="S83" s="819"/>
    </row>
    <row r="84" spans="1:19" ht="15" customHeight="1">
      <c r="A84" s="819"/>
      <c r="B84" s="1290" t="s">
        <v>2183</v>
      </c>
      <c r="C84" s="1283"/>
      <c r="D84" s="1284"/>
      <c r="E84" s="1276"/>
      <c r="F84" s="1276"/>
      <c r="G84" s="1285"/>
      <c r="H84" s="819"/>
      <c r="I84" s="836"/>
      <c r="J84" s="819"/>
      <c r="K84" s="1263" t="s">
        <v>1833</v>
      </c>
      <c r="L84" s="1164"/>
      <c r="M84" s="1164"/>
      <c r="N84" s="1164"/>
      <c r="O84" s="1164"/>
      <c r="P84" s="1164"/>
      <c r="Q84" s="2603"/>
      <c r="R84" s="2603"/>
      <c r="S84" s="819"/>
    </row>
    <row r="85" spans="1:19" ht="15" customHeight="1">
      <c r="A85" s="819"/>
      <c r="B85" s="1290" t="s">
        <v>2041</v>
      </c>
      <c r="C85" s="1286"/>
      <c r="D85" s="1287"/>
      <c r="E85" s="1279"/>
      <c r="F85" s="1279"/>
      <c r="G85" s="1288"/>
      <c r="H85" s="819"/>
      <c r="I85" s="836"/>
      <c r="J85" s="819"/>
      <c r="L85" s="1165"/>
      <c r="M85" s="1165"/>
      <c r="N85" s="1165"/>
      <c r="O85" s="1165"/>
      <c r="P85" s="1165"/>
      <c r="S85" s="819"/>
    </row>
    <row r="86" spans="1:19" ht="15" customHeight="1">
      <c r="A86" s="819"/>
      <c r="B86" s="1291" t="s">
        <v>2125</v>
      </c>
      <c r="C86" s="1283"/>
      <c r="D86" s="1284"/>
      <c r="E86" s="1276"/>
      <c r="F86" s="1276"/>
      <c r="G86" s="1277"/>
      <c r="H86" s="819"/>
      <c r="I86" s="836"/>
      <c r="J86" s="819"/>
      <c r="L86" s="1166"/>
      <c r="M86" s="1166"/>
      <c r="N86" s="1166"/>
      <c r="O86" s="1344" t="s">
        <v>1128</v>
      </c>
      <c r="P86" s="1166"/>
      <c r="Q86" s="819"/>
      <c r="R86" s="597"/>
      <c r="S86" s="819"/>
    </row>
    <row r="87" spans="1:19" ht="15" customHeight="1">
      <c r="A87" s="819"/>
      <c r="B87" s="1291" t="s">
        <v>2210</v>
      </c>
      <c r="C87" s="1286"/>
      <c r="D87" s="1275"/>
      <c r="E87" s="1280"/>
      <c r="F87" s="1280"/>
      <c r="G87" s="1349"/>
      <c r="H87" s="819"/>
      <c r="I87" s="836"/>
      <c r="J87" s="819"/>
      <c r="S87" s="819"/>
    </row>
    <row r="88" spans="1:19" ht="15" customHeight="1">
      <c r="A88" s="819"/>
      <c r="B88" s="1345"/>
      <c r="C88" s="1346"/>
      <c r="D88" s="1347"/>
      <c r="E88" s="1348" t="s">
        <v>2040</v>
      </c>
      <c r="F88" s="1278"/>
      <c r="G88" s="1278" t="s">
        <v>1097</v>
      </c>
      <c r="H88" s="819"/>
      <c r="I88" s="836"/>
      <c r="J88" s="819"/>
      <c r="K88" s="1264" t="s">
        <v>1832</v>
      </c>
      <c r="L88" s="1164"/>
      <c r="M88" s="1164"/>
      <c r="N88" s="1164"/>
      <c r="O88" s="1164"/>
      <c r="P88" s="1164"/>
      <c r="Q88" s="819"/>
      <c r="R88" s="597"/>
      <c r="S88" s="819"/>
    </row>
    <row r="89" spans="1:19" ht="15" customHeight="1">
      <c r="A89" s="819"/>
      <c r="B89" s="854" t="s">
        <v>1090</v>
      </c>
      <c r="C89" s="855" t="s">
        <v>1091</v>
      </c>
      <c r="D89" s="1292" t="s">
        <v>2043</v>
      </c>
      <c r="E89" s="1292" t="s">
        <v>2126</v>
      </c>
      <c r="F89" s="856"/>
      <c r="G89" s="856" t="s">
        <v>2044</v>
      </c>
      <c r="H89" s="819"/>
      <c r="I89" s="836"/>
      <c r="J89" s="819"/>
      <c r="K89" s="1264" t="s">
        <v>1834</v>
      </c>
      <c r="L89" s="1165"/>
      <c r="M89" s="1165"/>
      <c r="N89" s="1165"/>
      <c r="O89" s="1165"/>
      <c r="P89" s="1165"/>
      <c r="Q89" s="2603">
        <f>1950402</f>
        <v>1950402</v>
      </c>
      <c r="R89" s="2603"/>
      <c r="S89" s="819"/>
    </row>
    <row r="90" spans="1:19" ht="15" customHeight="1">
      <c r="A90" s="597"/>
      <c r="B90" s="797" t="s">
        <v>2497</v>
      </c>
      <c r="C90" s="798">
        <v>15</v>
      </c>
      <c r="D90" s="799">
        <v>367</v>
      </c>
      <c r="E90" s="800">
        <f>'Subsidy Contract Calculation'!E4</f>
        <v>875</v>
      </c>
      <c r="F90" s="864"/>
      <c r="G90" s="857">
        <f>MAX(($E90-$D90)*$C90*12,0)</f>
        <v>91440</v>
      </c>
      <c r="H90" s="819"/>
      <c r="I90" s="836"/>
      <c r="J90" s="819"/>
      <c r="K90" s="1264" t="s">
        <v>1835</v>
      </c>
      <c r="L90" s="1165"/>
      <c r="M90" s="1165"/>
      <c r="N90" s="1165"/>
      <c r="O90" s="1165"/>
      <c r="P90" s="1165"/>
      <c r="Q90" s="2644">
        <v>20</v>
      </c>
      <c r="R90" s="2644"/>
      <c r="S90" s="819"/>
    </row>
    <row r="91" spans="1:19" ht="15" customHeight="1">
      <c r="A91" s="597"/>
      <c r="B91" s="797" t="s">
        <v>2498</v>
      </c>
      <c r="C91" s="798">
        <v>5</v>
      </c>
      <c r="D91" s="799">
        <v>394</v>
      </c>
      <c r="E91" s="800">
        <f>'Subsidy Contract Calculation'!E5</f>
        <v>936</v>
      </c>
      <c r="F91" s="864"/>
      <c r="G91" s="857">
        <f t="shared" ref="G91:G97" si="0">MAX(($E91-$D91)*$C91*12,0)</f>
        <v>32520</v>
      </c>
      <c r="H91" s="819"/>
      <c r="I91" s="836"/>
      <c r="J91" s="819"/>
      <c r="K91" s="1264" t="s">
        <v>1839</v>
      </c>
      <c r="L91" s="1165"/>
      <c r="M91" s="1165"/>
      <c r="N91" s="1165"/>
      <c r="O91" s="1165"/>
      <c r="P91" s="1165"/>
      <c r="Q91" s="2606">
        <f>IFERROR(Q89/Q90,0)</f>
        <v>97520.1</v>
      </c>
      <c r="R91" s="2606"/>
      <c r="S91" s="819"/>
    </row>
    <row r="92" spans="1:19" ht="15" customHeight="1">
      <c r="A92" s="597"/>
      <c r="B92" s="797" t="s">
        <v>2498</v>
      </c>
      <c r="C92" s="798">
        <v>7</v>
      </c>
      <c r="D92" s="799">
        <v>525</v>
      </c>
      <c r="E92" s="800">
        <v>742</v>
      </c>
      <c r="F92" s="864"/>
      <c r="G92" s="857">
        <f t="shared" si="0"/>
        <v>18228</v>
      </c>
      <c r="H92" s="819"/>
      <c r="I92" s="836"/>
      <c r="J92" s="819"/>
      <c r="S92" s="819"/>
    </row>
    <row r="93" spans="1:19" ht="15" customHeight="1">
      <c r="A93" s="597"/>
      <c r="B93" s="797" t="s">
        <v>2499</v>
      </c>
      <c r="C93" s="798">
        <v>8</v>
      </c>
      <c r="D93" s="799">
        <v>630</v>
      </c>
      <c r="E93" s="800">
        <v>935</v>
      </c>
      <c r="F93" s="864"/>
      <c r="G93" s="857">
        <f t="shared" si="0"/>
        <v>29280</v>
      </c>
      <c r="H93" s="819"/>
      <c r="I93" s="836"/>
      <c r="J93" s="819"/>
      <c r="K93" s="1265" t="s">
        <v>1840</v>
      </c>
      <c r="L93" s="1163"/>
      <c r="M93" s="1163"/>
      <c r="N93" s="1163"/>
      <c r="O93" s="1163"/>
      <c r="P93" s="1163"/>
      <c r="Q93" s="2600">
        <f>MAX(Q84,Q91)</f>
        <v>97520.1</v>
      </c>
      <c r="R93" s="2600"/>
      <c r="S93" s="819"/>
    </row>
    <row r="94" spans="1:19" ht="15" customHeight="1">
      <c r="A94" s="597"/>
      <c r="B94" s="797" t="s">
        <v>2500</v>
      </c>
      <c r="C94" s="798">
        <v>5</v>
      </c>
      <c r="D94" s="799">
        <v>727</v>
      </c>
      <c r="E94" s="800">
        <v>1313</v>
      </c>
      <c r="F94" s="864"/>
      <c r="G94" s="857">
        <f t="shared" si="0"/>
        <v>35160</v>
      </c>
      <c r="H94" s="819"/>
      <c r="I94" s="836"/>
      <c r="J94" s="819"/>
      <c r="K94" s="1265"/>
      <c r="L94" s="1163"/>
      <c r="M94" s="1163"/>
      <c r="N94" s="1163"/>
      <c r="O94" s="1163"/>
      <c r="P94" s="1163"/>
      <c r="Q94" s="1340"/>
      <c r="R94" s="1340"/>
      <c r="S94" s="819"/>
    </row>
    <row r="95" spans="1:19" ht="15" customHeight="1">
      <c r="A95" s="597"/>
      <c r="B95" s="797" t="s">
        <v>681</v>
      </c>
      <c r="C95" s="798"/>
      <c r="D95" s="799"/>
      <c r="E95" s="800"/>
      <c r="F95" s="864"/>
      <c r="G95" s="857">
        <f t="shared" si="0"/>
        <v>0</v>
      </c>
      <c r="H95" s="819"/>
      <c r="I95" s="836"/>
      <c r="J95" s="819"/>
      <c r="K95" s="1265"/>
      <c r="L95" s="1163"/>
      <c r="M95" s="1163"/>
      <c r="N95" s="1163"/>
      <c r="O95" s="1163"/>
      <c r="P95" s="1163"/>
      <c r="Q95" s="1340"/>
      <c r="R95" s="1340"/>
      <c r="S95" s="819"/>
    </row>
    <row r="96" spans="1:19" ht="15" customHeight="1">
      <c r="A96" s="597"/>
      <c r="B96" s="797" t="s">
        <v>681</v>
      </c>
      <c r="C96" s="798"/>
      <c r="D96" s="799"/>
      <c r="E96" s="800"/>
      <c r="F96" s="864"/>
      <c r="G96" s="857">
        <f t="shared" si="0"/>
        <v>0</v>
      </c>
      <c r="H96" s="819"/>
      <c r="I96" s="836"/>
      <c r="J96" s="819"/>
      <c r="K96" s="819"/>
      <c r="L96" s="819"/>
      <c r="M96" s="819"/>
      <c r="N96" s="819"/>
      <c r="O96" s="819"/>
      <c r="P96" s="819"/>
      <c r="Q96" s="819"/>
      <c r="R96" s="819"/>
      <c r="S96" s="819"/>
    </row>
    <row r="97" spans="1:19" ht="15" customHeight="1">
      <c r="A97" s="597"/>
      <c r="B97" s="797" t="s">
        <v>681</v>
      </c>
      <c r="C97" s="798"/>
      <c r="D97" s="799"/>
      <c r="E97" s="800"/>
      <c r="F97" s="864"/>
      <c r="G97" s="857">
        <f t="shared" si="0"/>
        <v>0</v>
      </c>
      <c r="H97" s="819"/>
      <c r="I97" s="836"/>
      <c r="J97" s="819"/>
      <c r="K97" s="819"/>
      <c r="L97" s="819"/>
      <c r="M97" s="819"/>
      <c r="N97" s="819"/>
      <c r="O97" s="819"/>
      <c r="P97" s="819"/>
      <c r="Q97" s="819"/>
      <c r="R97" s="819"/>
      <c r="S97" s="819"/>
    </row>
    <row r="98" spans="1:19" ht="15" customHeight="1">
      <c r="A98" s="597"/>
      <c r="B98" s="819"/>
      <c r="C98" s="859"/>
      <c r="D98" s="833"/>
      <c r="E98" s="1047" t="s">
        <v>1938</v>
      </c>
      <c r="F98" s="1047"/>
      <c r="G98" s="1091">
        <f>SUM(G90:G97)</f>
        <v>206628</v>
      </c>
      <c r="H98" s="819"/>
      <c r="I98" s="836"/>
      <c r="J98" s="819"/>
      <c r="S98" s="819"/>
    </row>
    <row r="99" spans="1:19" ht="15" customHeight="1">
      <c r="A99" s="819"/>
      <c r="B99" s="819"/>
      <c r="C99" s="819"/>
      <c r="D99" s="819"/>
      <c r="E99" s="819"/>
      <c r="F99" s="819"/>
      <c r="G99" s="819"/>
      <c r="H99" s="819"/>
      <c r="I99" s="836"/>
      <c r="J99" s="819"/>
      <c r="K99" s="819"/>
      <c r="L99" s="819"/>
      <c r="M99" s="819"/>
      <c r="N99" s="819"/>
      <c r="O99" s="819"/>
      <c r="P99" s="819"/>
      <c r="Q99" s="819"/>
      <c r="R99" s="819"/>
      <c r="S99" s="819"/>
    </row>
    <row r="100" spans="1:19" ht="15" customHeight="1">
      <c r="A100" s="819"/>
      <c r="B100" s="844" t="s">
        <v>1836</v>
      </c>
      <c r="C100" s="819"/>
      <c r="D100" s="1009">
        <f>G98+Q93</f>
        <v>304148.09999999998</v>
      </c>
      <c r="E100" s="819"/>
      <c r="F100" s="819"/>
      <c r="G100" s="819"/>
      <c r="H100" s="819"/>
      <c r="I100" s="836"/>
      <c r="J100" s="819"/>
      <c r="K100" s="819"/>
      <c r="L100" s="819"/>
      <c r="M100" s="819"/>
      <c r="N100" s="819"/>
      <c r="O100" s="819"/>
      <c r="P100" s="819"/>
      <c r="Q100" s="819"/>
      <c r="R100" s="819"/>
      <c r="S100" s="819"/>
    </row>
    <row r="101" spans="1:19" ht="15" customHeight="1">
      <c r="A101" s="819"/>
      <c r="B101" s="844" t="s">
        <v>1092</v>
      </c>
      <c r="C101" s="819"/>
      <c r="D101" s="860">
        <v>0.05</v>
      </c>
      <c r="E101" s="819"/>
      <c r="F101" s="819"/>
      <c r="G101" s="819"/>
      <c r="H101" s="819"/>
      <c r="I101" s="836"/>
      <c r="J101" s="819"/>
      <c r="K101" s="819"/>
      <c r="L101" s="819"/>
      <c r="M101" s="819"/>
      <c r="N101" s="819"/>
      <c r="O101" s="819"/>
      <c r="P101" s="819"/>
      <c r="Q101" s="819"/>
      <c r="R101" s="819"/>
      <c r="S101" s="819"/>
    </row>
    <row r="102" spans="1:19" ht="15" customHeight="1">
      <c r="A102" s="819"/>
      <c r="B102" s="844" t="s">
        <v>1129</v>
      </c>
      <c r="C102" s="819"/>
      <c r="D102" s="1009">
        <f>D100-(D100*D101)</f>
        <v>288940.69499999995</v>
      </c>
      <c r="E102" s="819"/>
      <c r="F102" s="819"/>
      <c r="G102" s="819"/>
      <c r="H102" s="819"/>
      <c r="I102" s="819"/>
      <c r="J102" s="819"/>
      <c r="K102" s="819"/>
      <c r="L102" s="819"/>
      <c r="M102" s="819"/>
      <c r="N102" s="819"/>
      <c r="O102" s="819"/>
      <c r="P102" s="819"/>
      <c r="Q102" s="819"/>
      <c r="R102" s="819"/>
      <c r="S102" s="819"/>
    </row>
    <row r="103" spans="1:19" ht="15" customHeight="1">
      <c r="A103" s="819"/>
      <c r="B103" s="844" t="s">
        <v>1828</v>
      </c>
      <c r="C103" s="819"/>
      <c r="D103" s="861"/>
      <c r="E103" s="819"/>
      <c r="F103" s="819"/>
      <c r="G103" s="819"/>
      <c r="H103" s="819"/>
      <c r="I103" s="819"/>
      <c r="J103" s="819"/>
      <c r="K103" s="819"/>
      <c r="L103" s="819"/>
      <c r="M103" s="819"/>
      <c r="N103" s="819"/>
      <c r="O103" s="819"/>
      <c r="P103" s="819"/>
      <c r="Q103" s="819"/>
      <c r="R103" s="819"/>
      <c r="S103" s="819"/>
    </row>
    <row r="104" spans="1:19" ht="15" customHeight="1">
      <c r="A104" s="819"/>
      <c r="B104" s="844" t="s">
        <v>1837</v>
      </c>
      <c r="C104" s="819"/>
      <c r="D104" s="1009">
        <f>D102/D108</f>
        <v>251252.77826086953</v>
      </c>
      <c r="E104" s="819"/>
      <c r="F104" s="819"/>
      <c r="G104" s="819"/>
      <c r="H104" s="819"/>
      <c r="I104" s="819"/>
      <c r="J104" s="819"/>
      <c r="K104" s="819"/>
      <c r="L104" s="819"/>
      <c r="M104" s="819"/>
      <c r="N104" s="819"/>
      <c r="O104" s="819"/>
      <c r="P104" s="819"/>
      <c r="Q104" s="819"/>
      <c r="R104" s="819"/>
      <c r="S104" s="819"/>
    </row>
    <row r="105" spans="1:19" ht="15" customHeight="1">
      <c r="A105" s="819"/>
      <c r="B105" s="819"/>
      <c r="C105" s="819"/>
      <c r="D105" s="819"/>
      <c r="E105" s="819"/>
      <c r="F105" s="819"/>
      <c r="G105" s="819"/>
      <c r="H105" s="819"/>
      <c r="I105" s="819"/>
      <c r="J105" s="819"/>
      <c r="K105" s="819"/>
      <c r="L105" s="819"/>
      <c r="M105" s="819"/>
      <c r="N105" s="819"/>
      <c r="O105" s="819"/>
      <c r="P105" s="819"/>
      <c r="Q105" s="819"/>
      <c r="R105" s="819"/>
      <c r="S105" s="819"/>
    </row>
    <row r="106" spans="1:19" ht="15" customHeight="1">
      <c r="A106" s="819"/>
      <c r="B106" s="844" t="s">
        <v>1829</v>
      </c>
      <c r="C106" s="819"/>
      <c r="D106" s="844">
        <v>15</v>
      </c>
      <c r="E106" s="819"/>
      <c r="F106" s="819"/>
      <c r="G106" s="819"/>
      <c r="H106" s="819"/>
      <c r="I106" s="819"/>
      <c r="J106" s="819"/>
      <c r="K106" s="819"/>
      <c r="L106" s="819"/>
      <c r="M106" s="819"/>
      <c r="N106" s="819"/>
      <c r="O106" s="819"/>
      <c r="P106" s="819"/>
      <c r="Q106" s="819"/>
      <c r="R106" s="819"/>
      <c r="S106" s="819"/>
    </row>
    <row r="107" spans="1:19" ht="15" customHeight="1">
      <c r="A107" s="819"/>
      <c r="B107" s="844" t="s">
        <v>1830</v>
      </c>
      <c r="C107" s="819"/>
      <c r="D107" s="1037">
        <v>0.04</v>
      </c>
      <c r="E107" s="819"/>
      <c r="F107" s="819"/>
      <c r="G107" s="819"/>
      <c r="H107" s="819"/>
      <c r="I107" s="819"/>
      <c r="J107" s="819"/>
      <c r="K107" s="819"/>
      <c r="L107" s="819"/>
      <c r="M107" s="819"/>
      <c r="N107" s="819"/>
      <c r="O107" s="819"/>
      <c r="P107" s="819"/>
      <c r="Q107" s="819"/>
      <c r="R107" s="819"/>
      <c r="S107" s="819"/>
    </row>
    <row r="108" spans="1:19" ht="15" customHeight="1">
      <c r="A108" s="819"/>
      <c r="B108" s="844" t="s">
        <v>1207</v>
      </c>
      <c r="C108" s="819"/>
      <c r="D108" s="862">
        <v>1.1499999999999999</v>
      </c>
      <c r="E108" s="819"/>
      <c r="F108" s="819"/>
      <c r="G108" s="819"/>
      <c r="H108" s="819"/>
      <c r="I108" s="819"/>
      <c r="J108" s="819"/>
      <c r="K108" s="819"/>
      <c r="L108" s="819"/>
      <c r="M108" s="819"/>
      <c r="N108" s="819"/>
      <c r="O108" s="819"/>
      <c r="P108" s="819"/>
      <c r="Q108" s="819"/>
      <c r="R108" s="819"/>
      <c r="S108" s="819"/>
    </row>
    <row r="109" spans="1:19" ht="15" customHeight="1">
      <c r="A109" s="819"/>
      <c r="B109" s="833"/>
      <c r="C109" s="833"/>
      <c r="D109" s="863"/>
      <c r="E109" s="863"/>
      <c r="F109" s="863"/>
      <c r="G109" s="819"/>
      <c r="H109" s="819"/>
      <c r="I109" s="819"/>
      <c r="J109" s="819"/>
      <c r="K109" s="819"/>
      <c r="L109" s="819"/>
      <c r="M109" s="819"/>
      <c r="N109" s="819"/>
      <c r="O109" s="819"/>
      <c r="P109" s="819"/>
      <c r="Q109" s="819"/>
      <c r="R109" s="819"/>
      <c r="S109" s="819"/>
    </row>
    <row r="110" spans="1:19" ht="15" customHeight="1">
      <c r="A110" s="819"/>
      <c r="B110" s="833" t="s">
        <v>1831</v>
      </c>
      <c r="C110" s="833"/>
      <c r="D110" s="1010">
        <f>PV(D107/12,D106*12,-D104/12, ,0)</f>
        <v>2830616.9124625674</v>
      </c>
      <c r="E110" s="833"/>
      <c r="F110" s="833"/>
      <c r="G110" s="858"/>
      <c r="H110" s="819"/>
      <c r="I110" s="819"/>
      <c r="J110" s="819"/>
      <c r="K110" s="819"/>
      <c r="L110" s="819"/>
      <c r="M110" s="819"/>
      <c r="N110" s="819"/>
      <c r="O110" s="819"/>
      <c r="P110" s="819"/>
      <c r="Q110" s="819"/>
      <c r="R110" s="819"/>
      <c r="S110" s="819"/>
    </row>
  </sheetData>
  <sheetProtection algorithmName="SHA-512" hashValue="quOiytv3Vy7E4362CWuy45oVQZHKKL5prNcUtzP7ug8o2+1g3NwrnqriPc+kpKbgIaugIFvB0qVWnZ8EVixdkg==" saltValue="dQR254ZnEL4AFHxWmSJsrg==" spinCount="100000" sheet="1" objects="1" scenarios="1"/>
  <mergeCells count="66">
    <mergeCell ref="Q44:R44"/>
    <mergeCell ref="B33:G34"/>
    <mergeCell ref="O33:O34"/>
    <mergeCell ref="Q38:R38"/>
    <mergeCell ref="P32:P33"/>
    <mergeCell ref="Q84:R84"/>
    <mergeCell ref="Q91:R91"/>
    <mergeCell ref="Q93:R93"/>
    <mergeCell ref="Q89:R89"/>
    <mergeCell ref="Q90:R90"/>
    <mergeCell ref="B72:D72"/>
    <mergeCell ref="Q72:R72"/>
    <mergeCell ref="B75:G75"/>
    <mergeCell ref="I75:I76"/>
    <mergeCell ref="J75:J76"/>
    <mergeCell ref="K75:K76"/>
    <mergeCell ref="P75:P76"/>
    <mergeCell ref="Q75:Q76"/>
    <mergeCell ref="B76:G76"/>
    <mergeCell ref="B59:O60"/>
    <mergeCell ref="B61:O61"/>
    <mergeCell ref="B64:C64"/>
    <mergeCell ref="B70:C70"/>
    <mergeCell ref="B71:D71"/>
    <mergeCell ref="J67:R67"/>
    <mergeCell ref="J63:R66"/>
    <mergeCell ref="B58:E58"/>
    <mergeCell ref="J58:N58"/>
    <mergeCell ref="B37:E37"/>
    <mergeCell ref="B38:E38"/>
    <mergeCell ref="B40:E40"/>
    <mergeCell ref="B41:E41"/>
    <mergeCell ref="B52:E52"/>
    <mergeCell ref="B56:C56"/>
    <mergeCell ref="B57:O57"/>
    <mergeCell ref="K42:O42"/>
    <mergeCell ref="B39:E39"/>
    <mergeCell ref="K46:O46"/>
    <mergeCell ref="A1:S2"/>
    <mergeCell ref="B4:R6"/>
    <mergeCell ref="B8:R8"/>
    <mergeCell ref="B10:R11"/>
    <mergeCell ref="B13:R17"/>
    <mergeCell ref="B26:R26"/>
    <mergeCell ref="B19:R21"/>
    <mergeCell ref="Q46:R46"/>
    <mergeCell ref="K48:O48"/>
    <mergeCell ref="Q47:R47"/>
    <mergeCell ref="Q48:R48"/>
    <mergeCell ref="K47:O47"/>
    <mergeCell ref="K40:O40"/>
    <mergeCell ref="Q40:R40"/>
    <mergeCell ref="O29:O32"/>
    <mergeCell ref="B29:G32"/>
    <mergeCell ref="I32:I33"/>
    <mergeCell ref="J32:J33"/>
    <mergeCell ref="K32:K33"/>
    <mergeCell ref="B23:R24"/>
    <mergeCell ref="Q42:R42"/>
    <mergeCell ref="U61:U62"/>
    <mergeCell ref="U63:U64"/>
    <mergeCell ref="U65:U66"/>
    <mergeCell ref="U67:U68"/>
    <mergeCell ref="R75:R76"/>
    <mergeCell ref="U69:U70"/>
    <mergeCell ref="Q71:R71"/>
  </mergeCells>
  <dataValidations count="3">
    <dataValidation type="whole" operator="greaterThanOrEqual" allowBlank="1" showInputMessage="1" showErrorMessage="1" sqref="G39:G40 E42:E51 Q90:R90 G66 Q46:R47">
      <formula1>0</formula1>
    </dataValidation>
    <dataValidation type="list" allowBlank="1" showInputMessage="1" showErrorMessage="1" sqref="B90:B97">
      <formula1>"SRO,Studio,1 bedroom,2 bedroom,3 bedroom,4 bedroom,5 bedroom"</formula1>
    </dataValidation>
    <dataValidation type="list" allowBlank="1" showInputMessage="1" showErrorMessage="1" sqref="J67">
      <formula1>$U$55:$U$59</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AI218"/>
  <sheetViews>
    <sheetView view="pageBreakPreview" topLeftCell="A3" zoomScaleSheetLayoutView="100" workbookViewId="0">
      <selection activeCell="M9" sqref="M9"/>
    </sheetView>
  </sheetViews>
  <sheetFormatPr defaultColWidth="0" defaultRowHeight="13.2" zeroHeight="1"/>
  <cols>
    <col min="1" max="1" width="3.44140625" customWidth="1"/>
    <col min="2" max="2" width="31.44140625" customWidth="1"/>
    <col min="3" max="3" width="9.44140625" customWidth="1"/>
    <col min="4" max="4" width="2.44140625" customWidth="1"/>
    <col min="5" max="5" width="12.44140625" customWidth="1"/>
    <col min="6" max="6" width="2.44140625" customWidth="1"/>
    <col min="7" max="7" width="12.44140625" customWidth="1"/>
    <col min="8" max="8" width="2.44140625" customWidth="1"/>
    <col min="9" max="9" width="12.44140625" customWidth="1"/>
    <col min="10" max="10" width="2.44140625" customWidth="1"/>
    <col min="11" max="11" width="12.44140625" customWidth="1"/>
    <col min="12" max="12" width="2.44140625" customWidth="1"/>
    <col min="13" max="13" width="12.44140625" customWidth="1"/>
    <col min="14" max="14" width="2.44140625" customWidth="1"/>
    <col min="15" max="15" width="12.44140625" customWidth="1"/>
    <col min="16" max="16" width="2.44140625" customWidth="1"/>
    <col min="17" max="17" width="12.44140625" customWidth="1"/>
    <col min="18" max="18" width="2.44140625" customWidth="1"/>
    <col min="19" max="19" width="12.44140625" customWidth="1"/>
    <col min="20" max="20" width="2.44140625" customWidth="1"/>
    <col min="21" max="21" width="12.44140625" customWidth="1"/>
    <col min="22" max="22" width="2.44140625" customWidth="1"/>
    <col min="23" max="23" width="12.44140625" customWidth="1"/>
    <col min="24" max="24" width="2.44140625" customWidth="1"/>
    <col min="25" max="25" width="12.44140625" customWidth="1"/>
    <col min="26" max="26" width="2.44140625" customWidth="1"/>
    <col min="27" max="27" width="12.44140625" customWidth="1"/>
    <col min="28" max="28" width="2.44140625" customWidth="1"/>
    <col min="29" max="29" width="12.44140625" customWidth="1"/>
    <col min="30" max="30" width="2.44140625" customWidth="1"/>
    <col min="31" max="31" width="12.44140625" customWidth="1"/>
    <col min="32" max="32" width="2.44140625" customWidth="1"/>
    <col min="33" max="33" width="12.44140625" customWidth="1"/>
    <col min="34" max="34" width="2.44140625" customWidth="1"/>
  </cols>
  <sheetData>
    <row r="1" spans="1:34" ht="17.399999999999999">
      <c r="A1" s="601" t="s">
        <v>1941</v>
      </c>
      <c r="B1" s="601"/>
      <c r="C1" s="597"/>
      <c r="D1" s="597"/>
      <c r="E1" s="597"/>
      <c r="F1" s="597"/>
      <c r="G1" s="597"/>
      <c r="H1" s="597"/>
      <c r="I1" s="597"/>
      <c r="J1" s="597"/>
      <c r="K1" s="597"/>
      <c r="L1" s="597"/>
      <c r="M1" s="597"/>
      <c r="N1" s="597"/>
      <c r="O1" s="597"/>
      <c r="P1" s="597"/>
      <c r="Q1" s="597"/>
      <c r="R1" s="597"/>
      <c r="S1" s="597"/>
      <c r="T1" s="597"/>
      <c r="U1" s="597"/>
      <c r="V1" s="597"/>
      <c r="W1" s="597"/>
      <c r="X1" s="597"/>
      <c r="Y1" s="597"/>
      <c r="Z1" s="597"/>
      <c r="AA1" s="597"/>
      <c r="AB1" s="597"/>
      <c r="AC1" s="597"/>
      <c r="AD1" s="597"/>
      <c r="AE1" s="597"/>
      <c r="AF1" s="597"/>
      <c r="AG1" s="597"/>
      <c r="AH1" s="597"/>
    </row>
    <row r="2" spans="1:34"/>
    <row r="3" spans="1:34" ht="15.6">
      <c r="A3" s="602" t="s">
        <v>1173</v>
      </c>
      <c r="B3" s="602"/>
      <c r="C3" s="630" t="s">
        <v>1174</v>
      </c>
      <c r="D3" s="603"/>
      <c r="E3" s="631" t="s">
        <v>1175</v>
      </c>
      <c r="F3" s="599"/>
      <c r="G3" s="631" t="s">
        <v>1176</v>
      </c>
      <c r="H3" s="599"/>
      <c r="I3" s="631" t="s">
        <v>1177</v>
      </c>
      <c r="J3" s="599"/>
      <c r="K3" s="631" t="s">
        <v>1178</v>
      </c>
      <c r="L3" s="599"/>
      <c r="M3" s="631" t="s">
        <v>1179</v>
      </c>
      <c r="N3" s="599"/>
      <c r="O3" s="631" t="s">
        <v>1180</v>
      </c>
      <c r="P3" s="599"/>
      <c r="Q3" s="631" t="s">
        <v>1181</v>
      </c>
      <c r="R3" s="599"/>
      <c r="S3" s="631" t="s">
        <v>1182</v>
      </c>
      <c r="T3" s="599"/>
      <c r="U3" s="631" t="s">
        <v>1183</v>
      </c>
      <c r="V3" s="599"/>
      <c r="W3" s="631" t="s">
        <v>1184</v>
      </c>
      <c r="X3" s="599"/>
      <c r="Y3" s="631" t="s">
        <v>1185</v>
      </c>
      <c r="Z3" s="599"/>
      <c r="AA3" s="631" t="s">
        <v>1186</v>
      </c>
      <c r="AB3" s="599"/>
      <c r="AC3" s="631" t="s">
        <v>1187</v>
      </c>
      <c r="AD3" s="599"/>
      <c r="AE3" s="631" t="s">
        <v>1188</v>
      </c>
      <c r="AF3" s="599"/>
      <c r="AG3" s="631" t="s">
        <v>1189</v>
      </c>
      <c r="AH3" s="603"/>
    </row>
    <row r="4" spans="1:34" ht="13.8">
      <c r="A4" s="610" t="s">
        <v>1190</v>
      </c>
      <c r="B4" s="610"/>
      <c r="C4" s="634">
        <v>1.0249999999999999</v>
      </c>
      <c r="D4" s="610"/>
      <c r="E4" s="610">
        <f>Application!Y777</f>
        <v>243804</v>
      </c>
      <c r="F4" s="610"/>
      <c r="G4" s="610">
        <f>E4*$C$4</f>
        <v>249899.09999999998</v>
      </c>
      <c r="H4" s="610"/>
      <c r="I4" s="610">
        <f>G4*$C$4</f>
        <v>256146.57749999996</v>
      </c>
      <c r="J4" s="610"/>
      <c r="K4" s="610">
        <f>I4*$C$4</f>
        <v>262550.24193749996</v>
      </c>
      <c r="L4" s="610"/>
      <c r="M4" s="610">
        <f>K4*$C$4</f>
        <v>269113.99798593746</v>
      </c>
      <c r="N4" s="610"/>
      <c r="O4" s="610">
        <f>M4*$C$4</f>
        <v>275841.84793558589</v>
      </c>
      <c r="P4" s="610"/>
      <c r="Q4" s="610">
        <f>O4*$C$4</f>
        <v>282737.8941339755</v>
      </c>
      <c r="R4" s="610"/>
      <c r="S4" s="610">
        <f>Q4*$C$4</f>
        <v>289806.34148732485</v>
      </c>
      <c r="T4" s="610"/>
      <c r="U4" s="610">
        <f>S4*$C$4</f>
        <v>297051.50002450793</v>
      </c>
      <c r="V4" s="610"/>
      <c r="W4" s="610">
        <f>U4*$C$4</f>
        <v>304477.7875251206</v>
      </c>
      <c r="X4" s="610"/>
      <c r="Y4" s="610">
        <f>W4*$C$4</f>
        <v>312089.73221324862</v>
      </c>
      <c r="Z4" s="610"/>
      <c r="AA4" s="610">
        <f>Y4*$C$4</f>
        <v>319891.97551857983</v>
      </c>
      <c r="AB4" s="610"/>
      <c r="AC4" s="610">
        <f>AA4*$C$4</f>
        <v>327889.27490654431</v>
      </c>
      <c r="AD4" s="610"/>
      <c r="AE4" s="610">
        <f>AC4*$C$4</f>
        <v>336086.50677920791</v>
      </c>
      <c r="AF4" s="610"/>
      <c r="AG4" s="610">
        <f>AE4*$C$4</f>
        <v>344488.6694486881</v>
      </c>
      <c r="AH4" s="610"/>
    </row>
    <row r="5" spans="1:34" ht="13.8">
      <c r="A5" s="600"/>
      <c r="B5" s="600" t="s">
        <v>1092</v>
      </c>
      <c r="C5" s="635">
        <v>0.05</v>
      </c>
      <c r="D5" s="600"/>
      <c r="E5" s="612">
        <f>-E4*$C$5</f>
        <v>-12190.2</v>
      </c>
      <c r="F5" s="612"/>
      <c r="G5" s="612">
        <f>-G4*$C$5</f>
        <v>-12494.955</v>
      </c>
      <c r="H5" s="612"/>
      <c r="I5" s="612">
        <f>-I4*$C$5</f>
        <v>-12807.328874999999</v>
      </c>
      <c r="J5" s="612"/>
      <c r="K5" s="612">
        <f>-K4*$C$5</f>
        <v>-13127.512096874998</v>
      </c>
      <c r="L5" s="612"/>
      <c r="M5" s="612">
        <f>-M4*$C$5</f>
        <v>-13455.699899296873</v>
      </c>
      <c r="N5" s="612"/>
      <c r="O5" s="612">
        <f>-O4*$C$5</f>
        <v>-13792.092396779295</v>
      </c>
      <c r="P5" s="612"/>
      <c r="Q5" s="612">
        <f>-Q4*$C$5</f>
        <v>-14136.894706698775</v>
      </c>
      <c r="R5" s="612"/>
      <c r="S5" s="612">
        <f>-S4*$C$5</f>
        <v>-14490.317074366243</v>
      </c>
      <c r="T5" s="612"/>
      <c r="U5" s="612">
        <f>-U4*$C$5</f>
        <v>-14852.575001225398</v>
      </c>
      <c r="V5" s="612"/>
      <c r="W5" s="612">
        <f>-W4*$C$5</f>
        <v>-15223.889376256031</v>
      </c>
      <c r="X5" s="612"/>
      <c r="Y5" s="612">
        <f>-Y4*$C$5</f>
        <v>-15604.486610662432</v>
      </c>
      <c r="Z5" s="612"/>
      <c r="AA5" s="612">
        <f>-AA4*$C$5</f>
        <v>-15994.598775928993</v>
      </c>
      <c r="AB5" s="612"/>
      <c r="AC5" s="612">
        <f>-AC4*$C$5</f>
        <v>-16394.463745327215</v>
      </c>
      <c r="AD5" s="612"/>
      <c r="AE5" s="612">
        <f>-AE4*$C$5</f>
        <v>-16804.325338960396</v>
      </c>
      <c r="AF5" s="612"/>
      <c r="AG5" s="612">
        <f>-AG4*$C$5</f>
        <v>-17224.433472434404</v>
      </c>
      <c r="AH5" s="600"/>
    </row>
    <row r="6" spans="1:34" ht="13.8">
      <c r="A6" s="600" t="s">
        <v>1191</v>
      </c>
      <c r="B6" s="600"/>
      <c r="C6" s="634">
        <v>1.0249999999999999</v>
      </c>
      <c r="D6" s="600"/>
      <c r="E6" s="613">
        <f>Application!Z785</f>
        <v>179640</v>
      </c>
      <c r="F6" s="613"/>
      <c r="G6" s="613">
        <f>E6*$C$6</f>
        <v>184130.99999999997</v>
      </c>
      <c r="H6" s="613"/>
      <c r="I6" s="613">
        <f>G6*$C$6</f>
        <v>188734.27499999997</v>
      </c>
      <c r="J6" s="613"/>
      <c r="K6" s="613">
        <f>I6*$C$6</f>
        <v>193452.63187499993</v>
      </c>
      <c r="L6" s="613"/>
      <c r="M6" s="613">
        <f>K6*$C$6</f>
        <v>198288.94767187492</v>
      </c>
      <c r="N6" s="613"/>
      <c r="O6" s="613">
        <f>M6*$C$6</f>
        <v>203246.17136367178</v>
      </c>
      <c r="P6" s="613"/>
      <c r="Q6" s="613">
        <f>O6*$C$6</f>
        <v>208327.32564776356</v>
      </c>
      <c r="R6" s="613"/>
      <c r="S6" s="613">
        <f>Q6*$C$6</f>
        <v>213535.50878895764</v>
      </c>
      <c r="T6" s="613"/>
      <c r="U6" s="613">
        <f>S6*$C$6</f>
        <v>218873.89650868156</v>
      </c>
      <c r="V6" s="613"/>
      <c r="W6" s="613">
        <f>U6*$C$6</f>
        <v>224345.74392139859</v>
      </c>
      <c r="X6" s="613"/>
      <c r="Y6" s="613">
        <f>W6*$C$6</f>
        <v>229954.38751943354</v>
      </c>
      <c r="Z6" s="613"/>
      <c r="AA6" s="613">
        <f>Y6*$C$6</f>
        <v>235703.24720741936</v>
      </c>
      <c r="AB6" s="613"/>
      <c r="AC6" s="613">
        <f>AA6*$C$6</f>
        <v>241595.82838760482</v>
      </c>
      <c r="AD6" s="613"/>
      <c r="AE6" s="613">
        <f>AC6*$C$6</f>
        <v>247635.72409729491</v>
      </c>
      <c r="AF6" s="613"/>
      <c r="AG6" s="613">
        <f>AE6*$C$6</f>
        <v>253826.61719972725</v>
      </c>
      <c r="AH6" s="600"/>
    </row>
    <row r="7" spans="1:34" ht="13.8">
      <c r="A7" s="600"/>
      <c r="B7" s="600" t="s">
        <v>1092</v>
      </c>
      <c r="C7" s="635">
        <v>0.05</v>
      </c>
      <c r="D7" s="600"/>
      <c r="E7" s="612">
        <f>-E6*$C$7</f>
        <v>-8982</v>
      </c>
      <c r="F7" s="612"/>
      <c r="G7" s="612">
        <f>-G6*$C$7</f>
        <v>-9206.5499999999993</v>
      </c>
      <c r="H7" s="612"/>
      <c r="I7" s="612">
        <f>-I6*$C$7</f>
        <v>-9436.713749999999</v>
      </c>
      <c r="J7" s="612"/>
      <c r="K7" s="612">
        <f>-K6*$C$7</f>
        <v>-9672.6315937499967</v>
      </c>
      <c r="L7" s="612"/>
      <c r="M7" s="612">
        <f>-M6*$C$7</f>
        <v>-9914.4473835937461</v>
      </c>
      <c r="N7" s="612"/>
      <c r="O7" s="612">
        <f>-O6*$C$7</f>
        <v>-10162.308568183589</v>
      </c>
      <c r="P7" s="612"/>
      <c r="Q7" s="612">
        <f>-Q6*$C$7</f>
        <v>-10416.366282388179</v>
      </c>
      <c r="R7" s="612"/>
      <c r="S7" s="612">
        <f>-S6*$C$7</f>
        <v>-10676.775439447883</v>
      </c>
      <c r="T7" s="612"/>
      <c r="U7" s="612">
        <f>-U6*$C$7</f>
        <v>-10943.694825434079</v>
      </c>
      <c r="V7" s="612"/>
      <c r="W7" s="612">
        <f>-W6*$C$7</f>
        <v>-11217.28719606993</v>
      </c>
      <c r="X7" s="612"/>
      <c r="Y7" s="612">
        <f>-Y6*$C$7</f>
        <v>-11497.719375971677</v>
      </c>
      <c r="Z7" s="612"/>
      <c r="AA7" s="612">
        <f>-AA6*$C$7</f>
        <v>-11785.162360370969</v>
      </c>
      <c r="AB7" s="612"/>
      <c r="AC7" s="612">
        <f>-AC6*$C$7</f>
        <v>-12079.791419380243</v>
      </c>
      <c r="AD7" s="612"/>
      <c r="AE7" s="612">
        <f>-AE6*$C$7</f>
        <v>-12381.786204864746</v>
      </c>
      <c r="AF7" s="612"/>
      <c r="AG7" s="612">
        <f>-AG6*$C$7</f>
        <v>-12691.330859986363</v>
      </c>
      <c r="AH7" s="600"/>
    </row>
    <row r="8" spans="1:34" s="1387" customFormat="1" ht="13.8">
      <c r="A8" s="600" t="s">
        <v>2504</v>
      </c>
      <c r="B8" s="600"/>
      <c r="C8" s="635"/>
      <c r="D8" s="600"/>
      <c r="E8" s="613">
        <v>7000</v>
      </c>
      <c r="F8" s="612"/>
      <c r="G8" s="613">
        <v>10000</v>
      </c>
      <c r="H8" s="612"/>
      <c r="I8" s="613">
        <v>12000</v>
      </c>
      <c r="J8" s="612"/>
      <c r="K8" s="613">
        <v>15000</v>
      </c>
      <c r="L8" s="612"/>
      <c r="M8" s="613">
        <v>19000</v>
      </c>
      <c r="N8" s="612"/>
      <c r="O8" s="613">
        <v>23000</v>
      </c>
      <c r="P8" s="612"/>
      <c r="Q8" s="613">
        <v>26000</v>
      </c>
      <c r="R8" s="612"/>
      <c r="S8" s="613">
        <v>31000</v>
      </c>
      <c r="T8" s="612"/>
      <c r="U8" s="613">
        <v>35000</v>
      </c>
      <c r="V8" s="612"/>
      <c r="W8" s="613">
        <v>40000</v>
      </c>
      <c r="X8" s="612"/>
      <c r="Y8" s="613">
        <v>45000</v>
      </c>
      <c r="Z8" s="612"/>
      <c r="AA8" s="613">
        <v>50000</v>
      </c>
      <c r="AB8" s="612"/>
      <c r="AC8" s="613">
        <v>55000</v>
      </c>
      <c r="AD8" s="612"/>
      <c r="AE8" s="613">
        <v>60000</v>
      </c>
      <c r="AF8" s="612"/>
      <c r="AG8" s="613">
        <v>65000</v>
      </c>
      <c r="AH8" s="600"/>
    </row>
    <row r="9" spans="1:34" ht="13.8">
      <c r="A9" s="600" t="s">
        <v>289</v>
      </c>
      <c r="B9" s="600"/>
      <c r="C9" s="634">
        <v>1.0249999999999999</v>
      </c>
      <c r="D9" s="600"/>
      <c r="E9" s="613">
        <f>Application!Z793</f>
        <v>4160</v>
      </c>
      <c r="F9" s="613"/>
      <c r="G9" s="613">
        <f>E9*$C$9</f>
        <v>4264</v>
      </c>
      <c r="H9" s="613"/>
      <c r="I9" s="613">
        <f>G9*$C$9</f>
        <v>4370.5999999999995</v>
      </c>
      <c r="J9" s="613"/>
      <c r="K9" s="613">
        <f>I9*$C$9</f>
        <v>4479.8649999999989</v>
      </c>
      <c r="L9" s="613"/>
      <c r="M9" s="613">
        <f>K9*$C$9</f>
        <v>4591.8616249999986</v>
      </c>
      <c r="N9" s="613"/>
      <c r="O9" s="613">
        <f>M9*$C$9</f>
        <v>4706.6581656249982</v>
      </c>
      <c r="P9" s="613"/>
      <c r="Q9" s="613">
        <f>O9*$C$9</f>
        <v>4824.3246197656226</v>
      </c>
      <c r="R9" s="613"/>
      <c r="S9" s="613">
        <f>Q9*$C$9</f>
        <v>4944.9327352597629</v>
      </c>
      <c r="T9" s="613"/>
      <c r="U9" s="613">
        <f>S9*$C$9</f>
        <v>5068.5560536412568</v>
      </c>
      <c r="V9" s="613"/>
      <c r="W9" s="613">
        <f>U9*$C$9</f>
        <v>5195.2699549822873</v>
      </c>
      <c r="X9" s="613"/>
      <c r="Y9" s="613">
        <f>W9*$C$9</f>
        <v>5325.1517038568445</v>
      </c>
      <c r="Z9" s="613"/>
      <c r="AA9" s="613">
        <f>Y9*$C$9</f>
        <v>5458.2804964532652</v>
      </c>
      <c r="AB9" s="613"/>
      <c r="AC9" s="613">
        <f>AA9*$C$9</f>
        <v>5594.7375088645967</v>
      </c>
      <c r="AD9" s="613"/>
      <c r="AE9" s="613">
        <f>AC9*$C$9</f>
        <v>5734.6059465862108</v>
      </c>
      <c r="AF9" s="613"/>
      <c r="AG9" s="613">
        <f>AE9*$C$9</f>
        <v>5877.9710952508658</v>
      </c>
      <c r="AH9" s="600"/>
    </row>
    <row r="10" spans="1:34" ht="13.8">
      <c r="A10" s="600"/>
      <c r="B10" s="600" t="s">
        <v>1092</v>
      </c>
      <c r="C10" s="635">
        <v>0.05</v>
      </c>
      <c r="D10" s="600"/>
      <c r="E10" s="632">
        <f>-E9*$C$10</f>
        <v>-208</v>
      </c>
      <c r="F10" s="612"/>
      <c r="G10" s="632">
        <f>-G9*$C$10</f>
        <v>-213.20000000000002</v>
      </c>
      <c r="H10" s="612"/>
      <c r="I10" s="632">
        <f>-I9*$C$10</f>
        <v>-218.52999999999997</v>
      </c>
      <c r="J10" s="612"/>
      <c r="K10" s="632">
        <f>-K9*$C$10</f>
        <v>-223.99324999999996</v>
      </c>
      <c r="L10" s="612"/>
      <c r="M10" s="632">
        <f>-M9*$C$10</f>
        <v>-229.59308124999995</v>
      </c>
      <c r="N10" s="612"/>
      <c r="O10" s="632">
        <f>-O9*$C$10</f>
        <v>-235.33290828124993</v>
      </c>
      <c r="P10" s="612"/>
      <c r="Q10" s="632">
        <f>-Q9*$C$10</f>
        <v>-241.21623098828115</v>
      </c>
      <c r="R10" s="612"/>
      <c r="S10" s="632">
        <f>-S9*$C$10</f>
        <v>-247.24663676298815</v>
      </c>
      <c r="T10" s="612"/>
      <c r="U10" s="632">
        <f>-U9*$C$10</f>
        <v>-253.42780268206286</v>
      </c>
      <c r="V10" s="612"/>
      <c r="W10" s="632">
        <f>-W9*$C$10</f>
        <v>-259.76349774911438</v>
      </c>
      <c r="X10" s="612"/>
      <c r="Y10" s="632">
        <f>-Y9*$C$10</f>
        <v>-266.25758519284221</v>
      </c>
      <c r="Z10" s="612"/>
      <c r="AA10" s="632">
        <f>-AA9*$C$10</f>
        <v>-272.91402482266329</v>
      </c>
      <c r="AB10" s="612"/>
      <c r="AC10" s="632">
        <f>-AC9*$C$10</f>
        <v>-279.73687544322985</v>
      </c>
      <c r="AD10" s="612"/>
      <c r="AE10" s="632">
        <f>-AE9*$C$10</f>
        <v>-286.73029732931053</v>
      </c>
      <c r="AF10" s="612"/>
      <c r="AG10" s="632">
        <f>-AG9*$C$10</f>
        <v>-293.89855476254331</v>
      </c>
      <c r="AH10" s="600"/>
    </row>
    <row r="11" spans="1:34" ht="13.8">
      <c r="A11" s="614" t="s">
        <v>1192</v>
      </c>
      <c r="B11" s="614"/>
      <c r="C11" s="605"/>
      <c r="D11" s="614"/>
      <c r="E11" s="614">
        <f>SUM(E4:E10)</f>
        <v>413223.8</v>
      </c>
      <c r="F11" s="614"/>
      <c r="G11" s="614">
        <f>SUM(G4:G10)</f>
        <v>426379.39499999996</v>
      </c>
      <c r="H11" s="614"/>
      <c r="I11" s="614">
        <f>SUM(I4:I10)</f>
        <v>438788.87987499987</v>
      </c>
      <c r="J11" s="614"/>
      <c r="K11" s="614">
        <f>SUM(K4:K10)</f>
        <v>452458.60187187494</v>
      </c>
      <c r="L11" s="614"/>
      <c r="M11" s="614">
        <f>SUM(M4:M10)</f>
        <v>467395.06691867183</v>
      </c>
      <c r="N11" s="614"/>
      <c r="O11" s="614">
        <f>SUM(O4:O10)</f>
        <v>482604.94359163853</v>
      </c>
      <c r="P11" s="614"/>
      <c r="Q11" s="614">
        <f>SUM(Q4:Q10)</f>
        <v>497095.06718142948</v>
      </c>
      <c r="R11" s="614"/>
      <c r="S11" s="614">
        <f>SUM(S4:S10)</f>
        <v>513872.44386096514</v>
      </c>
      <c r="T11" s="614"/>
      <c r="U11" s="614">
        <f>SUM(U4:U10)</f>
        <v>529944.25495748932</v>
      </c>
      <c r="V11" s="614"/>
      <c r="W11" s="614">
        <f>SUM(W4:W10)</f>
        <v>547317.86133142642</v>
      </c>
      <c r="X11" s="614"/>
      <c r="Y11" s="614">
        <f>SUM(Y4:Y10)</f>
        <v>565000.80786471209</v>
      </c>
      <c r="Z11" s="614"/>
      <c r="AA11" s="614">
        <f>SUM(AA4:AA10)</f>
        <v>583000.8280613299</v>
      </c>
      <c r="AB11" s="614"/>
      <c r="AC11" s="614">
        <f>SUM(AC4:AC10)</f>
        <v>601325.84876286308</v>
      </c>
      <c r="AD11" s="614"/>
      <c r="AE11" s="614">
        <f>SUM(AE4:AE10)</f>
        <v>619983.99498193467</v>
      </c>
      <c r="AF11" s="614"/>
      <c r="AG11" s="614">
        <f>SUM(AG4:AG10)</f>
        <v>638983.59485648293</v>
      </c>
      <c r="AH11" s="614"/>
    </row>
    <row r="12" spans="1:34">
      <c r="A12" s="597"/>
      <c r="B12" s="597"/>
      <c r="C12" s="624"/>
      <c r="D12" s="597"/>
      <c r="E12" s="604"/>
      <c r="F12" s="604"/>
      <c r="G12" s="604"/>
      <c r="H12" s="604"/>
      <c r="I12" s="604"/>
      <c r="J12" s="604"/>
      <c r="K12" s="604"/>
      <c r="L12" s="604"/>
      <c r="M12" s="604"/>
      <c r="N12" s="604"/>
      <c r="O12" s="604"/>
      <c r="P12" s="604"/>
      <c r="Q12" s="604"/>
      <c r="R12" s="604"/>
      <c r="S12" s="604"/>
      <c r="T12" s="604"/>
      <c r="U12" s="604"/>
      <c r="V12" s="604"/>
      <c r="W12" s="604"/>
      <c r="X12" s="604"/>
      <c r="Y12" s="604"/>
      <c r="Z12" s="604"/>
      <c r="AA12" s="604"/>
      <c r="AB12" s="604"/>
      <c r="AC12" s="604"/>
      <c r="AD12" s="604"/>
      <c r="AE12" s="604"/>
      <c r="AF12" s="604"/>
      <c r="AG12" s="604"/>
      <c r="AH12" s="597"/>
    </row>
    <row r="13" spans="1:34" ht="15.6">
      <c r="A13" s="602" t="s">
        <v>1193</v>
      </c>
      <c r="B13" s="597"/>
      <c r="C13" s="624"/>
      <c r="D13" s="597"/>
      <c r="E13" s="604"/>
      <c r="F13" s="604"/>
      <c r="G13" s="604"/>
      <c r="H13" s="604"/>
      <c r="I13" s="604"/>
      <c r="J13" s="604"/>
      <c r="K13" s="604"/>
      <c r="L13" s="604"/>
      <c r="M13" s="604"/>
      <c r="N13" s="604"/>
      <c r="O13" s="604"/>
      <c r="P13" s="604"/>
      <c r="Q13" s="604"/>
      <c r="R13" s="604"/>
      <c r="S13" s="604"/>
      <c r="T13" s="604"/>
      <c r="U13" s="604"/>
      <c r="V13" s="604"/>
      <c r="W13" s="604"/>
      <c r="X13" s="604"/>
      <c r="Y13" s="604"/>
      <c r="Z13" s="604"/>
      <c r="AA13" s="604"/>
      <c r="AB13" s="604"/>
      <c r="AC13" s="604"/>
      <c r="AD13" s="604"/>
      <c r="AE13" s="604"/>
      <c r="AF13" s="604"/>
      <c r="AG13" s="604"/>
      <c r="AH13" s="597"/>
    </row>
    <row r="14" spans="1:34" ht="13.8">
      <c r="A14" s="600" t="s">
        <v>1194</v>
      </c>
      <c r="B14" s="600"/>
      <c r="C14" s="634">
        <v>1.0349999999999999</v>
      </c>
      <c r="D14" s="600"/>
      <c r="E14" s="613"/>
      <c r="F14" s="613"/>
      <c r="G14" s="613"/>
      <c r="H14" s="613"/>
      <c r="I14" s="613"/>
      <c r="J14" s="613"/>
      <c r="K14" s="613"/>
      <c r="L14" s="613"/>
      <c r="M14" s="613"/>
      <c r="N14" s="613"/>
      <c r="O14" s="613"/>
      <c r="P14" s="613"/>
      <c r="Q14" s="613"/>
      <c r="R14" s="613"/>
      <c r="S14" s="613"/>
      <c r="T14" s="613"/>
      <c r="U14" s="613"/>
      <c r="V14" s="613"/>
      <c r="W14" s="613"/>
      <c r="X14" s="613"/>
      <c r="Y14" s="613"/>
      <c r="Z14" s="613"/>
      <c r="AA14" s="613"/>
      <c r="AB14" s="613"/>
      <c r="AC14" s="613"/>
      <c r="AD14" s="613"/>
      <c r="AE14" s="613"/>
      <c r="AF14" s="613"/>
      <c r="AG14" s="613"/>
      <c r="AH14" s="600"/>
    </row>
    <row r="15" spans="1:34" ht="13.8">
      <c r="A15" s="610" t="s">
        <v>1195</v>
      </c>
      <c r="B15" s="610"/>
      <c r="C15" s="625"/>
      <c r="D15" s="610"/>
      <c r="E15" s="610">
        <f>Application!W823</f>
        <v>41860</v>
      </c>
      <c r="F15" s="610"/>
      <c r="G15" s="610">
        <f t="shared" ref="G15:G21" si="0">E15*$C$14</f>
        <v>43325.1</v>
      </c>
      <c r="H15" s="610"/>
      <c r="I15" s="610">
        <f t="shared" ref="I15:I21" si="1">G15*$C$14</f>
        <v>44841.478499999997</v>
      </c>
      <c r="J15" s="610"/>
      <c r="K15" s="610">
        <f t="shared" ref="K15:K21" si="2">I15*$C$14</f>
        <v>46410.930247499993</v>
      </c>
      <c r="L15" s="610"/>
      <c r="M15" s="610">
        <f t="shared" ref="M15:M21" si="3">K15*$C$14</f>
        <v>48035.312806162488</v>
      </c>
      <c r="N15" s="610"/>
      <c r="O15" s="610">
        <f t="shared" ref="O15:O21" si="4">M15*$C$14</f>
        <v>49716.548754378171</v>
      </c>
      <c r="P15" s="610"/>
      <c r="Q15" s="610">
        <f t="shared" ref="Q15:Q21" si="5">O15*$C$14</f>
        <v>51456.627960781399</v>
      </c>
      <c r="R15" s="610"/>
      <c r="S15" s="610">
        <f t="shared" ref="S15:S21" si="6">Q15*$C$14</f>
        <v>53257.609939408743</v>
      </c>
      <c r="T15" s="610"/>
      <c r="U15" s="610">
        <f t="shared" ref="U15:U21" si="7">S15*$C$14</f>
        <v>55121.626287288047</v>
      </c>
      <c r="V15" s="610"/>
      <c r="W15" s="610">
        <f t="shared" ref="W15:W21" si="8">U15*$C$14</f>
        <v>57050.883207343126</v>
      </c>
      <c r="X15" s="610"/>
      <c r="Y15" s="610">
        <f t="shared" ref="Y15:Y21" si="9">W15*$C$14</f>
        <v>59047.664119600129</v>
      </c>
      <c r="Z15" s="610"/>
      <c r="AA15" s="610">
        <f t="shared" ref="AA15:AA21" si="10">Y15*$C$14</f>
        <v>61114.332363786132</v>
      </c>
      <c r="AB15" s="610"/>
      <c r="AC15" s="610">
        <f t="shared" ref="AC15:AC21" si="11">AA15*$C$14</f>
        <v>63253.333996518639</v>
      </c>
      <c r="AD15" s="610"/>
      <c r="AE15" s="610">
        <f t="shared" ref="AE15:AE21" si="12">AC15*$C$14</f>
        <v>65467.200686396784</v>
      </c>
      <c r="AF15" s="610"/>
      <c r="AG15" s="610">
        <f t="shared" ref="AG15:AG21" si="13">AE15*$C$14</f>
        <v>67758.55271042067</v>
      </c>
      <c r="AH15" s="610"/>
    </row>
    <row r="16" spans="1:34" ht="13.8">
      <c r="A16" s="600" t="s">
        <v>517</v>
      </c>
      <c r="B16" s="600"/>
      <c r="C16" s="624"/>
      <c r="D16" s="600"/>
      <c r="E16" s="613">
        <f>Application!W825</f>
        <v>32400</v>
      </c>
      <c r="F16" s="613"/>
      <c r="G16" s="613">
        <f t="shared" si="0"/>
        <v>33534</v>
      </c>
      <c r="H16" s="613"/>
      <c r="I16" s="613">
        <f t="shared" si="1"/>
        <v>34707.689999999995</v>
      </c>
      <c r="J16" s="613"/>
      <c r="K16" s="613">
        <f t="shared" si="2"/>
        <v>35922.459149999995</v>
      </c>
      <c r="L16" s="613"/>
      <c r="M16" s="613">
        <f t="shared" si="3"/>
        <v>37179.745220249992</v>
      </c>
      <c r="N16" s="613"/>
      <c r="O16" s="613">
        <f t="shared" si="4"/>
        <v>38481.036302958739</v>
      </c>
      <c r="P16" s="613"/>
      <c r="Q16" s="613">
        <f t="shared" si="5"/>
        <v>39827.872573562294</v>
      </c>
      <c r="R16" s="613"/>
      <c r="S16" s="613">
        <f t="shared" si="6"/>
        <v>41221.848113636974</v>
      </c>
      <c r="T16" s="613"/>
      <c r="U16" s="613">
        <f t="shared" si="7"/>
        <v>42664.612797614267</v>
      </c>
      <c r="V16" s="613"/>
      <c r="W16" s="613">
        <f t="shared" si="8"/>
        <v>44157.874245530766</v>
      </c>
      <c r="X16" s="613"/>
      <c r="Y16" s="613">
        <f t="shared" si="9"/>
        <v>45703.399844124338</v>
      </c>
      <c r="Z16" s="613"/>
      <c r="AA16" s="613">
        <f t="shared" si="10"/>
        <v>47303.018838668686</v>
      </c>
      <c r="AB16" s="613"/>
      <c r="AC16" s="613">
        <f t="shared" si="11"/>
        <v>48958.624498022087</v>
      </c>
      <c r="AD16" s="613"/>
      <c r="AE16" s="613">
        <f t="shared" si="12"/>
        <v>50672.176355452859</v>
      </c>
      <c r="AF16" s="613"/>
      <c r="AG16" s="613">
        <f t="shared" si="13"/>
        <v>52445.702527893707</v>
      </c>
      <c r="AH16" s="600"/>
    </row>
    <row r="17" spans="1:34" ht="13.8">
      <c r="A17" s="600" t="s">
        <v>801</v>
      </c>
      <c r="B17" s="600"/>
      <c r="C17" s="624"/>
      <c r="D17" s="600"/>
      <c r="E17" s="613">
        <f>Application!W831</f>
        <v>26000</v>
      </c>
      <c r="F17" s="613"/>
      <c r="G17" s="613">
        <f t="shared" si="0"/>
        <v>26909.999999999996</v>
      </c>
      <c r="H17" s="613"/>
      <c r="I17" s="613">
        <f t="shared" si="1"/>
        <v>27851.849999999995</v>
      </c>
      <c r="J17" s="613"/>
      <c r="K17" s="613">
        <f t="shared" si="2"/>
        <v>28826.664749999993</v>
      </c>
      <c r="L17" s="613"/>
      <c r="M17" s="613">
        <f t="shared" si="3"/>
        <v>29835.598016249991</v>
      </c>
      <c r="N17" s="613"/>
      <c r="O17" s="613">
        <f t="shared" si="4"/>
        <v>30879.843946818739</v>
      </c>
      <c r="P17" s="613"/>
      <c r="Q17" s="613">
        <f t="shared" si="5"/>
        <v>31960.638484957391</v>
      </c>
      <c r="R17" s="613"/>
      <c r="S17" s="613">
        <f t="shared" si="6"/>
        <v>33079.2608319309</v>
      </c>
      <c r="T17" s="613"/>
      <c r="U17" s="613">
        <f t="shared" si="7"/>
        <v>34237.034961048477</v>
      </c>
      <c r="V17" s="613"/>
      <c r="W17" s="613">
        <f t="shared" si="8"/>
        <v>35435.331184685172</v>
      </c>
      <c r="X17" s="613"/>
      <c r="Y17" s="613">
        <f t="shared" si="9"/>
        <v>36675.567776149153</v>
      </c>
      <c r="Z17" s="613"/>
      <c r="AA17" s="613">
        <f t="shared" si="10"/>
        <v>37959.212648314373</v>
      </c>
      <c r="AB17" s="613"/>
      <c r="AC17" s="613">
        <f t="shared" si="11"/>
        <v>39287.785091005375</v>
      </c>
      <c r="AD17" s="613"/>
      <c r="AE17" s="613">
        <f t="shared" si="12"/>
        <v>40662.857569190557</v>
      </c>
      <c r="AF17" s="613"/>
      <c r="AG17" s="613">
        <f t="shared" si="13"/>
        <v>42086.057584112226</v>
      </c>
      <c r="AH17" s="600"/>
    </row>
    <row r="18" spans="1:34" ht="13.8">
      <c r="A18" s="600" t="s">
        <v>1196</v>
      </c>
      <c r="B18" s="600"/>
      <c r="C18" s="624"/>
      <c r="D18" s="600"/>
      <c r="E18" s="613">
        <f>Application!W838</f>
        <v>118622</v>
      </c>
      <c r="F18" s="613"/>
      <c r="G18" s="613">
        <f t="shared" si="0"/>
        <v>122773.76999999999</v>
      </c>
      <c r="H18" s="613"/>
      <c r="I18" s="613">
        <f t="shared" si="1"/>
        <v>127070.85194999998</v>
      </c>
      <c r="J18" s="613"/>
      <c r="K18" s="613">
        <f t="shared" si="2"/>
        <v>131518.33176824998</v>
      </c>
      <c r="L18" s="613"/>
      <c r="M18" s="613">
        <f t="shared" si="3"/>
        <v>136121.47338013872</v>
      </c>
      <c r="N18" s="613"/>
      <c r="O18" s="613">
        <f t="shared" si="4"/>
        <v>140885.72494844356</v>
      </c>
      <c r="P18" s="613"/>
      <c r="Q18" s="613">
        <f t="shared" si="5"/>
        <v>145816.72532163907</v>
      </c>
      <c r="R18" s="613"/>
      <c r="S18" s="613">
        <f t="shared" si="6"/>
        <v>150920.31070789642</v>
      </c>
      <c r="T18" s="613"/>
      <c r="U18" s="613">
        <f t="shared" si="7"/>
        <v>156202.52158267278</v>
      </c>
      <c r="V18" s="613"/>
      <c r="W18" s="613">
        <f t="shared" si="8"/>
        <v>161669.6098380663</v>
      </c>
      <c r="X18" s="613"/>
      <c r="Y18" s="613">
        <f t="shared" si="9"/>
        <v>167328.0461823986</v>
      </c>
      <c r="Z18" s="613"/>
      <c r="AA18" s="613">
        <f t="shared" si="10"/>
        <v>173184.52779878254</v>
      </c>
      <c r="AB18" s="613"/>
      <c r="AC18" s="613">
        <f t="shared" si="11"/>
        <v>179245.98627173991</v>
      </c>
      <c r="AD18" s="613"/>
      <c r="AE18" s="613">
        <f t="shared" si="12"/>
        <v>185519.59579125079</v>
      </c>
      <c r="AF18" s="613"/>
      <c r="AG18" s="613">
        <f t="shared" si="13"/>
        <v>192012.78164394456</v>
      </c>
    </row>
    <row r="19" spans="1:34" ht="13.8">
      <c r="A19" s="600" t="s">
        <v>1035</v>
      </c>
      <c r="B19" s="600"/>
      <c r="C19" s="624"/>
      <c r="D19" s="600"/>
      <c r="E19" s="613">
        <f>Application!W839</f>
        <v>20000</v>
      </c>
      <c r="F19" s="613"/>
      <c r="G19" s="613">
        <f t="shared" si="0"/>
        <v>20700</v>
      </c>
      <c r="H19" s="613"/>
      <c r="I19" s="613">
        <f t="shared" si="1"/>
        <v>21424.5</v>
      </c>
      <c r="J19" s="613"/>
      <c r="K19" s="613">
        <f t="shared" si="2"/>
        <v>22174.357499999998</v>
      </c>
      <c r="L19" s="613"/>
      <c r="M19" s="613">
        <f t="shared" si="3"/>
        <v>22950.460012499996</v>
      </c>
      <c r="N19" s="613"/>
      <c r="O19" s="613">
        <f t="shared" si="4"/>
        <v>23753.726112937493</v>
      </c>
      <c r="P19" s="613"/>
      <c r="Q19" s="613">
        <f t="shared" si="5"/>
        <v>24585.106526890304</v>
      </c>
      <c r="R19" s="613"/>
      <c r="S19" s="613">
        <f t="shared" si="6"/>
        <v>25445.585255331462</v>
      </c>
      <c r="T19" s="613"/>
      <c r="U19" s="613">
        <f t="shared" si="7"/>
        <v>26336.18073926806</v>
      </c>
      <c r="V19" s="613"/>
      <c r="W19" s="613">
        <f t="shared" si="8"/>
        <v>27257.947065142442</v>
      </c>
      <c r="X19" s="613"/>
      <c r="Y19" s="613">
        <f t="shared" si="9"/>
        <v>28211.975212422425</v>
      </c>
      <c r="Z19" s="613"/>
      <c r="AA19" s="613">
        <f t="shared" si="10"/>
        <v>29199.394344857206</v>
      </c>
      <c r="AB19" s="613"/>
      <c r="AC19" s="613">
        <f t="shared" si="11"/>
        <v>30221.373146927206</v>
      </c>
      <c r="AD19" s="613"/>
      <c r="AE19" s="613">
        <f t="shared" si="12"/>
        <v>31279.121207069657</v>
      </c>
      <c r="AF19" s="613"/>
      <c r="AG19" s="613">
        <f t="shared" si="13"/>
        <v>32373.890449317092</v>
      </c>
    </row>
    <row r="20" spans="1:34" ht="13.8">
      <c r="A20" s="600" t="s">
        <v>60</v>
      </c>
      <c r="B20" s="600"/>
      <c r="C20" s="624"/>
      <c r="D20" s="600"/>
      <c r="E20" s="613">
        <f>Application!W848</f>
        <v>82000</v>
      </c>
      <c r="F20" s="613"/>
      <c r="G20" s="613">
        <f t="shared" si="0"/>
        <v>84870</v>
      </c>
      <c r="H20" s="613"/>
      <c r="I20" s="613">
        <f t="shared" si="1"/>
        <v>87840.45</v>
      </c>
      <c r="J20" s="613"/>
      <c r="K20" s="613">
        <f t="shared" si="2"/>
        <v>90914.865749999997</v>
      </c>
      <c r="L20" s="613"/>
      <c r="M20" s="613">
        <f t="shared" si="3"/>
        <v>94096.886051249996</v>
      </c>
      <c r="N20" s="613"/>
      <c r="O20" s="613">
        <f t="shared" si="4"/>
        <v>97390.277063043744</v>
      </c>
      <c r="P20" s="613"/>
      <c r="Q20" s="613">
        <f t="shared" si="5"/>
        <v>100798.93676025026</v>
      </c>
      <c r="R20" s="613"/>
      <c r="S20" s="613">
        <f t="shared" si="6"/>
        <v>104326.89954685901</v>
      </c>
      <c r="T20" s="613"/>
      <c r="U20" s="613">
        <f t="shared" si="7"/>
        <v>107978.34103099907</v>
      </c>
      <c r="V20" s="613"/>
      <c r="W20" s="613">
        <f t="shared" si="8"/>
        <v>111757.58296708403</v>
      </c>
      <c r="X20" s="613"/>
      <c r="Y20" s="613">
        <f t="shared" si="9"/>
        <v>115669.09837093197</v>
      </c>
      <c r="Z20" s="613"/>
      <c r="AA20" s="613">
        <f t="shared" si="10"/>
        <v>119717.51681391458</v>
      </c>
      <c r="AB20" s="613"/>
      <c r="AC20" s="613">
        <f t="shared" si="11"/>
        <v>123907.62990240159</v>
      </c>
      <c r="AD20" s="613"/>
      <c r="AE20" s="613">
        <f t="shared" si="12"/>
        <v>128244.39694898564</v>
      </c>
      <c r="AF20" s="613"/>
      <c r="AG20" s="613">
        <f t="shared" si="13"/>
        <v>132732.95084220014</v>
      </c>
    </row>
    <row r="21" spans="1:34" ht="13.8">
      <c r="A21" s="769" t="s">
        <v>1351</v>
      </c>
      <c r="B21" s="769"/>
      <c r="C21" s="624"/>
      <c r="D21" s="600"/>
      <c r="E21" s="623">
        <f>Application!W855</f>
        <v>3000</v>
      </c>
      <c r="F21" s="613"/>
      <c r="G21" s="623">
        <f t="shared" si="0"/>
        <v>3104.9999999999995</v>
      </c>
      <c r="H21" s="613"/>
      <c r="I21" s="623">
        <f t="shared" si="1"/>
        <v>3213.6749999999993</v>
      </c>
      <c r="J21" s="613"/>
      <c r="K21" s="623">
        <f t="shared" si="2"/>
        <v>3326.153624999999</v>
      </c>
      <c r="L21" s="613"/>
      <c r="M21" s="623">
        <f t="shared" si="3"/>
        <v>3442.5690018749988</v>
      </c>
      <c r="N21" s="613"/>
      <c r="O21" s="623">
        <f t="shared" si="4"/>
        <v>3563.0589169406235</v>
      </c>
      <c r="P21" s="613"/>
      <c r="Q21" s="623">
        <f t="shared" si="5"/>
        <v>3687.7659790335451</v>
      </c>
      <c r="R21" s="613"/>
      <c r="S21" s="623">
        <f t="shared" si="6"/>
        <v>3816.8377882997188</v>
      </c>
      <c r="T21" s="613"/>
      <c r="U21" s="623">
        <f t="shared" si="7"/>
        <v>3950.4271108902085</v>
      </c>
      <c r="V21" s="613"/>
      <c r="W21" s="623">
        <f t="shared" si="8"/>
        <v>4088.6920597713656</v>
      </c>
      <c r="X21" s="613"/>
      <c r="Y21" s="623">
        <f t="shared" si="9"/>
        <v>4231.7962818633632</v>
      </c>
      <c r="Z21" s="613"/>
      <c r="AA21" s="623">
        <f t="shared" si="10"/>
        <v>4379.9091517285806</v>
      </c>
      <c r="AB21" s="613"/>
      <c r="AC21" s="623">
        <f t="shared" si="11"/>
        <v>4533.2059720390807</v>
      </c>
      <c r="AD21" s="613"/>
      <c r="AE21" s="623">
        <f t="shared" si="12"/>
        <v>4691.8681810604485</v>
      </c>
      <c r="AF21" s="613"/>
      <c r="AG21" s="623">
        <f t="shared" si="13"/>
        <v>4856.0835673975635</v>
      </c>
    </row>
    <row r="22" spans="1:34" ht="13.8">
      <c r="A22" s="614" t="s">
        <v>1197</v>
      </c>
      <c r="B22" s="614"/>
      <c r="C22" s="624"/>
      <c r="D22" s="614"/>
      <c r="E22" s="614">
        <f>SUM(E15:E21)</f>
        <v>323882</v>
      </c>
      <c r="F22" s="614"/>
      <c r="G22" s="614">
        <f>SUM(G15:G21)</f>
        <v>335217.87</v>
      </c>
      <c r="H22" s="614"/>
      <c r="I22" s="614">
        <f>SUM(I15:I21)</f>
        <v>346950.49544999999</v>
      </c>
      <c r="J22" s="614"/>
      <c r="K22" s="614">
        <f>SUM(K15:K21)</f>
        <v>359093.76279074996</v>
      </c>
      <c r="L22" s="614"/>
      <c r="M22" s="614">
        <f>SUM(M15:M21)</f>
        <v>371662.04448842618</v>
      </c>
      <c r="N22" s="614"/>
      <c r="O22" s="614">
        <f>SUM(O15:O21)</f>
        <v>384670.21604552108</v>
      </c>
      <c r="P22" s="614"/>
      <c r="Q22" s="614">
        <f>SUM(Q15:Q21)</f>
        <v>398133.67360711424</v>
      </c>
      <c r="R22" s="614"/>
      <c r="S22" s="614">
        <f>SUM(S15:S21)</f>
        <v>412068.35218336328</v>
      </c>
      <c r="T22" s="614"/>
      <c r="U22" s="614">
        <f>SUM(U15:U21)</f>
        <v>426490.74450978095</v>
      </c>
      <c r="V22" s="614"/>
      <c r="W22" s="614">
        <f>SUM(W15:W21)</f>
        <v>441417.92056762322</v>
      </c>
      <c r="X22" s="614"/>
      <c r="Y22" s="614">
        <f>SUM(Y15:Y21)</f>
        <v>456867.54778749001</v>
      </c>
      <c r="Z22" s="614"/>
      <c r="AA22" s="614">
        <f>SUM(AA15:AA21)</f>
        <v>472857.91196005209</v>
      </c>
      <c r="AB22" s="614"/>
      <c r="AC22" s="614">
        <f>SUM(AC15:AC21)</f>
        <v>489407.93887865386</v>
      </c>
      <c r="AD22" s="614"/>
      <c r="AE22" s="614">
        <f>SUM(AE15:AE21)</f>
        <v>506537.21673940681</v>
      </c>
      <c r="AF22" s="614"/>
      <c r="AG22" s="614">
        <f>SUM(AG15:AG21)</f>
        <v>524266.01932528598</v>
      </c>
    </row>
    <row r="23" spans="1:34" s="1387" customFormat="1" ht="13.8">
      <c r="A23" s="614"/>
      <c r="B23" s="614"/>
      <c r="C23" s="624"/>
      <c r="D23" s="614"/>
      <c r="E23" s="614"/>
      <c r="F23" s="614"/>
      <c r="G23" s="614"/>
      <c r="H23" s="614"/>
      <c r="I23" s="614"/>
      <c r="J23" s="614"/>
      <c r="K23" s="614"/>
      <c r="L23" s="614"/>
      <c r="M23" s="614"/>
      <c r="N23" s="614"/>
      <c r="O23" s="614"/>
      <c r="P23" s="614"/>
      <c r="Q23" s="614"/>
      <c r="R23" s="614"/>
      <c r="S23" s="614"/>
      <c r="T23" s="614"/>
      <c r="U23" s="614"/>
      <c r="V23" s="614"/>
      <c r="W23" s="614"/>
      <c r="X23" s="614"/>
      <c r="Y23" s="614"/>
      <c r="Z23" s="614"/>
      <c r="AA23" s="614"/>
      <c r="AB23" s="614"/>
      <c r="AC23" s="614"/>
      <c r="AD23" s="614"/>
      <c r="AE23" s="614"/>
      <c r="AF23" s="614"/>
      <c r="AG23" s="614"/>
    </row>
    <row r="24" spans="1:34" s="1387" customFormat="1" ht="13.8">
      <c r="A24" s="1406" t="s">
        <v>2225</v>
      </c>
      <c r="B24" s="1406"/>
      <c r="C24" s="1407"/>
      <c r="D24" s="1406"/>
      <c r="E24" s="1408"/>
      <c r="F24" s="614"/>
      <c r="G24" s="610">
        <f>E24*$C$24</f>
        <v>0</v>
      </c>
      <c r="H24" s="610"/>
      <c r="I24" s="610">
        <f>G24*$C$24</f>
        <v>0</v>
      </c>
      <c r="J24" s="610"/>
      <c r="K24" s="610">
        <f>I24*$C$24</f>
        <v>0</v>
      </c>
      <c r="L24" s="610"/>
      <c r="M24" s="610">
        <f>K24*$C$24</f>
        <v>0</v>
      </c>
      <c r="N24" s="610"/>
      <c r="O24" s="610">
        <f>M24*$C$24</f>
        <v>0</v>
      </c>
      <c r="P24" s="610"/>
      <c r="Q24" s="610">
        <f>O24*$C$24</f>
        <v>0</v>
      </c>
      <c r="R24" s="610"/>
      <c r="S24" s="610">
        <f>Q24*$C$24</f>
        <v>0</v>
      </c>
      <c r="T24" s="610"/>
      <c r="U24" s="610">
        <f>S24*$C$24</f>
        <v>0</v>
      </c>
      <c r="V24" s="610"/>
      <c r="W24" s="610">
        <f>U24*$C$24</f>
        <v>0</v>
      </c>
      <c r="X24" s="610"/>
      <c r="Y24" s="610">
        <f>W24*$C$24</f>
        <v>0</v>
      </c>
      <c r="Z24" s="610"/>
      <c r="AA24" s="610">
        <f>Y24*$C$24</f>
        <v>0</v>
      </c>
      <c r="AB24" s="610"/>
      <c r="AC24" s="610">
        <f>AA24*$C$24</f>
        <v>0</v>
      </c>
      <c r="AD24" s="610"/>
      <c r="AE24" s="610">
        <f>AC24*$C$24</f>
        <v>0</v>
      </c>
      <c r="AF24" s="610"/>
      <c r="AG24" s="610">
        <f>AE24*$C$24</f>
        <v>0</v>
      </c>
    </row>
    <row r="25" spans="1:34" ht="13.8">
      <c r="A25" s="600"/>
      <c r="B25" s="600"/>
      <c r="C25" s="624"/>
      <c r="D25" s="600"/>
      <c r="E25" s="613"/>
      <c r="F25" s="613"/>
      <c r="G25" s="613"/>
      <c r="H25" s="613"/>
      <c r="I25" s="613"/>
      <c r="J25" s="613"/>
      <c r="K25" s="613"/>
      <c r="L25" s="613"/>
      <c r="M25" s="613"/>
      <c r="N25" s="613"/>
      <c r="O25" s="613"/>
      <c r="P25" s="613"/>
      <c r="Q25" s="613"/>
      <c r="R25" s="613"/>
      <c r="S25" s="613"/>
      <c r="T25" s="613"/>
      <c r="U25" s="613"/>
      <c r="V25" s="613"/>
      <c r="W25" s="613"/>
      <c r="X25" s="613"/>
      <c r="Y25" s="613"/>
      <c r="Z25" s="613"/>
      <c r="AA25" s="613"/>
      <c r="AB25" s="613"/>
      <c r="AC25" s="613"/>
      <c r="AD25" s="613"/>
      <c r="AE25" s="613"/>
      <c r="AF25" s="613"/>
      <c r="AG25" s="613"/>
    </row>
    <row r="26" spans="1:34" ht="13.8">
      <c r="A26" s="600" t="s">
        <v>1515</v>
      </c>
      <c r="B26" s="600"/>
      <c r="C26" s="636">
        <v>1.0349999999999999</v>
      </c>
      <c r="D26" s="600"/>
      <c r="E26" s="610">
        <f>Application!AC863</f>
        <v>0</v>
      </c>
      <c r="F26" s="610"/>
      <c r="G26" s="610">
        <f>E26*$C$26</f>
        <v>0</v>
      </c>
      <c r="H26" s="610"/>
      <c r="I26" s="610">
        <f>G26*$C$26</f>
        <v>0</v>
      </c>
      <c r="J26" s="610"/>
      <c r="K26" s="610">
        <f>I26*$C$26</f>
        <v>0</v>
      </c>
      <c r="L26" s="610"/>
      <c r="M26" s="610">
        <f>K26*$C$26</f>
        <v>0</v>
      </c>
      <c r="N26" s="610"/>
      <c r="O26" s="610">
        <f>M26*$C$26</f>
        <v>0</v>
      </c>
      <c r="P26" s="610"/>
      <c r="Q26" s="610">
        <f>O26*$C$26</f>
        <v>0</v>
      </c>
      <c r="R26" s="610"/>
      <c r="S26" s="610">
        <f>Q26*$C$26</f>
        <v>0</v>
      </c>
      <c r="T26" s="610"/>
      <c r="U26" s="610">
        <f>S26*$C$26</f>
        <v>0</v>
      </c>
      <c r="V26" s="610"/>
      <c r="W26" s="610">
        <f>U26*$C$26</f>
        <v>0</v>
      </c>
      <c r="X26" s="610"/>
      <c r="Y26" s="610">
        <f>W26*$C$26</f>
        <v>0</v>
      </c>
      <c r="Z26" s="610"/>
      <c r="AA26" s="610">
        <f>Y26*$C$26</f>
        <v>0</v>
      </c>
      <c r="AB26" s="610"/>
      <c r="AC26" s="610">
        <f>AA26*$C$26</f>
        <v>0</v>
      </c>
      <c r="AD26" s="610"/>
      <c r="AE26" s="610">
        <f>AC26*$C$26</f>
        <v>0</v>
      </c>
      <c r="AF26" s="610"/>
      <c r="AG26" s="610">
        <f>AE26*$C$26</f>
        <v>0</v>
      </c>
    </row>
    <row r="27" spans="1:34" ht="13.8">
      <c r="A27" s="600" t="s">
        <v>1198</v>
      </c>
      <c r="B27" s="600"/>
      <c r="C27" s="636">
        <v>1.0349999999999999</v>
      </c>
      <c r="D27" s="600"/>
      <c r="E27" s="613">
        <f>Application!AC864</f>
        <v>16000</v>
      </c>
      <c r="F27" s="613"/>
      <c r="G27" s="613">
        <f>E27*$C$27</f>
        <v>16560</v>
      </c>
      <c r="H27" s="613"/>
      <c r="I27" s="613">
        <f>G27*$C$27</f>
        <v>17139.599999999999</v>
      </c>
      <c r="J27" s="613"/>
      <c r="K27" s="613">
        <f>I27*$C$27</f>
        <v>17739.485999999997</v>
      </c>
      <c r="L27" s="613"/>
      <c r="M27" s="613">
        <f>K27*$C$27</f>
        <v>18360.368009999995</v>
      </c>
      <c r="N27" s="613"/>
      <c r="O27" s="613">
        <f>M27*$C$27</f>
        <v>19002.980890349994</v>
      </c>
      <c r="P27" s="613"/>
      <c r="Q27" s="613">
        <f>O27*$C$27</f>
        <v>19668.085221512243</v>
      </c>
      <c r="R27" s="613"/>
      <c r="S27" s="613">
        <f>Q27*$C$27</f>
        <v>20356.468204265169</v>
      </c>
      <c r="T27" s="613"/>
      <c r="U27" s="613">
        <f>S27*$C$27</f>
        <v>21068.944591414449</v>
      </c>
      <c r="V27" s="613"/>
      <c r="W27" s="613">
        <f>U27*$C$27</f>
        <v>21806.357652113951</v>
      </c>
      <c r="X27" s="613"/>
      <c r="Y27" s="613">
        <f>W27*$C$27</f>
        <v>22569.580169937937</v>
      </c>
      <c r="Z27" s="613"/>
      <c r="AA27" s="613">
        <f>Y27*$C$27</f>
        <v>23359.515475885764</v>
      </c>
      <c r="AB27" s="613"/>
      <c r="AC27" s="613">
        <f>AA27*$C$27</f>
        <v>24177.098517541763</v>
      </c>
      <c r="AD27" s="613"/>
      <c r="AE27" s="613">
        <f>AC27*$C$27</f>
        <v>25023.296965655722</v>
      </c>
      <c r="AF27" s="613"/>
      <c r="AG27" s="613">
        <f>AE27*$C$27</f>
        <v>25899.112359453669</v>
      </c>
    </row>
    <row r="28" spans="1:34" ht="13.8">
      <c r="A28" s="1406" t="s">
        <v>1199</v>
      </c>
      <c r="B28" s="600"/>
      <c r="C28" s="636"/>
      <c r="D28" s="600"/>
      <c r="E28" s="613">
        <f>Application!AC865</f>
        <v>24600</v>
      </c>
      <c r="F28" s="613"/>
      <c r="G28" s="613">
        <f>$E$28</f>
        <v>24600</v>
      </c>
      <c r="H28" s="613"/>
      <c r="I28" s="613">
        <f>$E$28</f>
        <v>24600</v>
      </c>
      <c r="J28" s="613"/>
      <c r="K28" s="613">
        <f>$E$28</f>
        <v>24600</v>
      </c>
      <c r="L28" s="613"/>
      <c r="M28" s="613">
        <f>$E$28</f>
        <v>24600</v>
      </c>
      <c r="N28" s="613"/>
      <c r="O28" s="613">
        <f>$E$28</f>
        <v>24600</v>
      </c>
      <c r="P28" s="613"/>
      <c r="Q28" s="613">
        <f>$E$28</f>
        <v>24600</v>
      </c>
      <c r="R28" s="613"/>
      <c r="S28" s="613">
        <f>$E$28</f>
        <v>24600</v>
      </c>
      <c r="T28" s="613"/>
      <c r="U28" s="613">
        <f>$E$28</f>
        <v>24600</v>
      </c>
      <c r="V28" s="613"/>
      <c r="W28" s="613">
        <f>$E$28</f>
        <v>24600</v>
      </c>
      <c r="X28" s="613"/>
      <c r="Y28" s="613">
        <f>$E$28</f>
        <v>24600</v>
      </c>
      <c r="Z28" s="613"/>
      <c r="AA28" s="613">
        <f>$E$28</f>
        <v>24600</v>
      </c>
      <c r="AB28" s="613"/>
      <c r="AC28" s="613">
        <f>$E$28</f>
        <v>24600</v>
      </c>
      <c r="AD28" s="613"/>
      <c r="AE28" s="613">
        <f>$E$28</f>
        <v>24600</v>
      </c>
      <c r="AF28" s="613"/>
      <c r="AG28" s="613">
        <f>$E$28</f>
        <v>24600</v>
      </c>
    </row>
    <row r="29" spans="1:34" s="1387" customFormat="1" ht="13.8">
      <c r="A29" s="1406" t="s">
        <v>2508</v>
      </c>
      <c r="B29" s="600"/>
      <c r="C29" s="636"/>
      <c r="D29" s="600"/>
      <c r="E29" s="613">
        <f>Application!AC866</f>
        <v>14699</v>
      </c>
      <c r="F29" s="613"/>
      <c r="G29" s="613">
        <f>E29</f>
        <v>14699</v>
      </c>
      <c r="H29" s="613"/>
      <c r="I29" s="613">
        <f t="shared" ref="I29" si="14">G29</f>
        <v>14699</v>
      </c>
      <c r="J29" s="613"/>
      <c r="K29" s="613">
        <f t="shared" ref="K29" si="15">I29</f>
        <v>14699</v>
      </c>
      <c r="L29" s="613"/>
      <c r="M29" s="613">
        <f t="shared" ref="M29" si="16">K29</f>
        <v>14699</v>
      </c>
      <c r="N29" s="613"/>
      <c r="O29" s="613">
        <f t="shared" ref="O29" si="17">M29</f>
        <v>14699</v>
      </c>
      <c r="P29" s="613"/>
      <c r="Q29" s="613">
        <f t="shared" ref="Q29" si="18">O29</f>
        <v>14699</v>
      </c>
      <c r="R29" s="613"/>
      <c r="S29" s="613">
        <f t="shared" ref="S29" si="19">Q29</f>
        <v>14699</v>
      </c>
      <c r="T29" s="613"/>
      <c r="U29" s="613">
        <f t="shared" ref="U29" si="20">S29</f>
        <v>14699</v>
      </c>
      <c r="V29" s="613"/>
      <c r="W29" s="613">
        <f t="shared" ref="W29" si="21">U29</f>
        <v>14699</v>
      </c>
      <c r="X29" s="613"/>
      <c r="Y29" s="613">
        <f t="shared" ref="Y29" si="22">W29</f>
        <v>14699</v>
      </c>
      <c r="Z29" s="613"/>
      <c r="AA29" s="613">
        <f t="shared" ref="AA29" si="23">Y29</f>
        <v>14699</v>
      </c>
      <c r="AB29" s="613"/>
      <c r="AC29" s="613">
        <f t="shared" ref="AC29" si="24">AA29</f>
        <v>14699</v>
      </c>
      <c r="AD29" s="613"/>
      <c r="AE29" s="613">
        <f t="shared" ref="AE29" si="25">AC29</f>
        <v>14699</v>
      </c>
      <c r="AF29" s="613"/>
      <c r="AG29" s="613">
        <f t="shared" ref="AG29" si="26">AE29</f>
        <v>14699</v>
      </c>
    </row>
    <row r="30" spans="1:34" ht="13.8">
      <c r="A30" s="1406" t="s">
        <v>1200</v>
      </c>
      <c r="B30" s="600"/>
      <c r="C30" s="634">
        <v>1.02</v>
      </c>
      <c r="D30" s="600"/>
      <c r="E30" s="613">
        <f>Application!AC867</f>
        <v>5000</v>
      </c>
      <c r="F30" s="613"/>
      <c r="G30" s="613">
        <f>E30*$C$30</f>
        <v>5100</v>
      </c>
      <c r="H30" s="613"/>
      <c r="I30" s="613">
        <f>G30*$C$30</f>
        <v>5202</v>
      </c>
      <c r="J30" s="613"/>
      <c r="K30" s="613">
        <f>I30*$C$30</f>
        <v>5306.04</v>
      </c>
      <c r="L30" s="613"/>
      <c r="M30" s="613">
        <f>K30*$C$30</f>
        <v>5412.1607999999997</v>
      </c>
      <c r="N30" s="613"/>
      <c r="O30" s="613">
        <f>M30*$C$30</f>
        <v>5520.4040159999995</v>
      </c>
      <c r="P30" s="613"/>
      <c r="Q30" s="613">
        <f>O30*$C$30</f>
        <v>5630.8120963199999</v>
      </c>
      <c r="R30" s="613"/>
      <c r="S30" s="613">
        <f>Q30*$C$30</f>
        <v>5743.4283382464</v>
      </c>
      <c r="T30" s="613"/>
      <c r="U30" s="613">
        <f>S30*$C$30</f>
        <v>5858.2969050113279</v>
      </c>
      <c r="V30" s="613"/>
      <c r="W30" s="613">
        <f>U30*$C$30</f>
        <v>5975.4628431115543</v>
      </c>
      <c r="X30" s="613"/>
      <c r="Y30" s="613">
        <f>W30*$C$30</f>
        <v>6094.9720999737856</v>
      </c>
      <c r="Z30" s="613"/>
      <c r="AA30" s="613">
        <f>Y30*$C$30</f>
        <v>6216.8715419732616</v>
      </c>
      <c r="AB30" s="613"/>
      <c r="AC30" s="613">
        <f>AA30*$C$30</f>
        <v>6341.2089728127266</v>
      </c>
      <c r="AD30" s="613"/>
      <c r="AE30" s="613">
        <f>AC30*$C$30</f>
        <v>6468.0331522689812</v>
      </c>
      <c r="AF30" s="613"/>
      <c r="AG30" s="613">
        <f>AE30*$C$30</f>
        <v>6597.3938153143608</v>
      </c>
    </row>
    <row r="31" spans="1:34" s="1387" customFormat="1" ht="13.8">
      <c r="A31" s="1406" t="s">
        <v>2226</v>
      </c>
      <c r="B31" s="600"/>
      <c r="C31" s="634">
        <v>1.02</v>
      </c>
      <c r="D31" s="600"/>
      <c r="E31" s="613">
        <f>Application!AC868</f>
        <v>0</v>
      </c>
      <c r="F31" s="613"/>
      <c r="G31" s="613">
        <f>E31*$C$31</f>
        <v>0</v>
      </c>
      <c r="H31" s="613"/>
      <c r="I31" s="613">
        <f>G31*$C$31</f>
        <v>0</v>
      </c>
      <c r="J31" s="613"/>
      <c r="K31" s="613">
        <f>I31*$C$31</f>
        <v>0</v>
      </c>
      <c r="L31" s="613"/>
      <c r="M31" s="613">
        <f>K31*$C$31</f>
        <v>0</v>
      </c>
      <c r="N31" s="613"/>
      <c r="O31" s="613">
        <f>M31*$C$31</f>
        <v>0</v>
      </c>
      <c r="P31" s="613"/>
      <c r="Q31" s="613">
        <f>O31*$C$31</f>
        <v>0</v>
      </c>
      <c r="R31" s="613"/>
      <c r="S31" s="613">
        <f>Q31*$C$31</f>
        <v>0</v>
      </c>
      <c r="T31" s="613"/>
      <c r="U31" s="613">
        <f>S31*$C$31</f>
        <v>0</v>
      </c>
      <c r="V31" s="613"/>
      <c r="W31" s="613">
        <f>U31*$C$31</f>
        <v>0</v>
      </c>
      <c r="X31" s="613"/>
      <c r="Y31" s="613">
        <f>W31*$C$31</f>
        <v>0</v>
      </c>
      <c r="Z31" s="613"/>
      <c r="AA31" s="613">
        <f>Y31*$C$31</f>
        <v>0</v>
      </c>
      <c r="AB31" s="613"/>
      <c r="AC31" s="613">
        <f>AA31*$C$31</f>
        <v>0</v>
      </c>
      <c r="AD31" s="613"/>
      <c r="AE31" s="613">
        <f>AC31*$C$31</f>
        <v>0</v>
      </c>
      <c r="AF31" s="613"/>
      <c r="AG31" s="613">
        <f>AE31*$C$31</f>
        <v>0</v>
      </c>
    </row>
    <row r="32" spans="1:34" ht="13.8">
      <c r="A32" s="617" t="str">
        <f>Application!E869</f>
        <v>Other (Specify):</v>
      </c>
      <c r="B32" s="617"/>
      <c r="C32" s="775">
        <v>1.0349999999999999</v>
      </c>
      <c r="D32" s="600"/>
      <c r="E32" s="613">
        <f>Application!AC869</f>
        <v>0</v>
      </c>
      <c r="F32" s="613"/>
      <c r="G32" s="613">
        <f>E32*$C$32</f>
        <v>0</v>
      </c>
      <c r="H32" s="613"/>
      <c r="I32" s="613">
        <f>G32*$C$32</f>
        <v>0</v>
      </c>
      <c r="J32" s="613"/>
      <c r="K32" s="613">
        <f>I32*$C$32</f>
        <v>0</v>
      </c>
      <c r="L32" s="613"/>
      <c r="M32" s="613">
        <f>K32*$C$32</f>
        <v>0</v>
      </c>
      <c r="N32" s="613"/>
      <c r="O32" s="613">
        <f>M32*$C$32</f>
        <v>0</v>
      </c>
      <c r="P32" s="613"/>
      <c r="Q32" s="613">
        <f>O32*$C$32</f>
        <v>0</v>
      </c>
      <c r="R32" s="613"/>
      <c r="S32" s="613">
        <f>Q32*$C$32</f>
        <v>0</v>
      </c>
      <c r="T32" s="613"/>
      <c r="U32" s="613">
        <f>S32*$C$32</f>
        <v>0</v>
      </c>
      <c r="V32" s="613"/>
      <c r="W32" s="613">
        <f>U32*$C$32</f>
        <v>0</v>
      </c>
      <c r="X32" s="613"/>
      <c r="Y32" s="613">
        <f>W32*$C$32</f>
        <v>0</v>
      </c>
      <c r="Z32" s="613"/>
      <c r="AA32" s="613">
        <f>Y32*$C$32</f>
        <v>0</v>
      </c>
      <c r="AB32" s="613"/>
      <c r="AC32" s="613">
        <f>AA32*$C$32</f>
        <v>0</v>
      </c>
      <c r="AD32" s="613"/>
      <c r="AE32" s="613">
        <f>AC32*$C$32</f>
        <v>0</v>
      </c>
      <c r="AF32" s="613"/>
      <c r="AG32" s="613">
        <f>AE32*$C$32</f>
        <v>0</v>
      </c>
    </row>
    <row r="33" spans="1:35" ht="13.8">
      <c r="A33" s="617" t="str">
        <f>Application!E870</f>
        <v>Other (Specify):</v>
      </c>
      <c r="B33" s="617"/>
      <c r="C33" s="775">
        <v>1.0349999999999999</v>
      </c>
      <c r="D33" s="600"/>
      <c r="E33" s="613">
        <f>Application!AC870</f>
        <v>0</v>
      </c>
      <c r="F33" s="613"/>
      <c r="G33" s="613">
        <f>E33*$C$33</f>
        <v>0</v>
      </c>
      <c r="H33" s="613"/>
      <c r="I33" s="613">
        <f>G33*$C$33</f>
        <v>0</v>
      </c>
      <c r="J33" s="613"/>
      <c r="K33" s="613">
        <f>I33*$C$33</f>
        <v>0</v>
      </c>
      <c r="L33" s="613"/>
      <c r="M33" s="613">
        <f>K33*$C$33</f>
        <v>0</v>
      </c>
      <c r="N33" s="613"/>
      <c r="O33" s="613">
        <f>M33*$C$33</f>
        <v>0</v>
      </c>
      <c r="P33" s="613"/>
      <c r="Q33" s="613">
        <f>O33*$C$33</f>
        <v>0</v>
      </c>
      <c r="R33" s="613"/>
      <c r="S33" s="613">
        <f>Q33*$C$33</f>
        <v>0</v>
      </c>
      <c r="T33" s="613"/>
      <c r="U33" s="613">
        <f>S33*$C$33</f>
        <v>0</v>
      </c>
      <c r="V33" s="613"/>
      <c r="W33" s="613">
        <f>U33*$C$33</f>
        <v>0</v>
      </c>
      <c r="X33" s="613"/>
      <c r="Y33" s="613">
        <f>W33*$C$33</f>
        <v>0</v>
      </c>
      <c r="Z33" s="613"/>
      <c r="AA33" s="613">
        <f>Y33*$C$33</f>
        <v>0</v>
      </c>
      <c r="AB33" s="613"/>
      <c r="AC33" s="613">
        <f>AA33*$C$33</f>
        <v>0</v>
      </c>
      <c r="AD33" s="613"/>
      <c r="AE33" s="613">
        <f>AC33*$C$33</f>
        <v>0</v>
      </c>
      <c r="AF33" s="613"/>
      <c r="AG33" s="613">
        <f>AE33*$C$33</f>
        <v>0</v>
      </c>
    </row>
    <row r="34" spans="1:35" ht="13.8">
      <c r="A34" s="600"/>
      <c r="B34" s="600"/>
      <c r="C34" s="611"/>
      <c r="D34" s="600"/>
      <c r="E34" s="613"/>
      <c r="F34" s="613"/>
      <c r="G34" s="613"/>
      <c r="H34" s="613"/>
      <c r="I34" s="613"/>
      <c r="J34" s="613"/>
      <c r="K34" s="613"/>
      <c r="L34" s="613"/>
      <c r="M34" s="613"/>
      <c r="N34" s="613"/>
      <c r="O34" s="613"/>
      <c r="P34" s="613"/>
      <c r="Q34" s="613"/>
      <c r="R34" s="613"/>
      <c r="S34" s="613"/>
      <c r="T34" s="613"/>
      <c r="U34" s="613"/>
      <c r="V34" s="613"/>
      <c r="W34" s="613"/>
      <c r="X34" s="613"/>
      <c r="Y34" s="613"/>
      <c r="Z34" s="613"/>
      <c r="AA34" s="613"/>
      <c r="AB34" s="613"/>
      <c r="AC34" s="613"/>
      <c r="AD34" s="613"/>
      <c r="AE34" s="613"/>
      <c r="AF34" s="613"/>
      <c r="AG34" s="613"/>
    </row>
    <row r="35" spans="1:35" ht="13.8">
      <c r="A35" s="614" t="s">
        <v>165</v>
      </c>
      <c r="B35" s="614"/>
      <c r="C35" s="615"/>
      <c r="D35" s="614"/>
      <c r="E35" s="614">
        <f>SUM(E22:E33)</f>
        <v>384181</v>
      </c>
      <c r="F35" s="614"/>
      <c r="G35" s="614">
        <f>SUM(G22:G33)</f>
        <v>396176.87</v>
      </c>
      <c r="H35" s="614"/>
      <c r="I35" s="614">
        <f>SUM(I22:I33)</f>
        <v>408591.09544999996</v>
      </c>
      <c r="J35" s="614"/>
      <c r="K35" s="614">
        <f>SUM(K22:K33)</f>
        <v>421438.28879074991</v>
      </c>
      <c r="L35" s="614"/>
      <c r="M35" s="614">
        <f>SUM(M22:M33)</f>
        <v>434733.57329842617</v>
      </c>
      <c r="N35" s="614"/>
      <c r="O35" s="614">
        <f>SUM(O22:O33)</f>
        <v>448492.60095187108</v>
      </c>
      <c r="P35" s="614"/>
      <c r="Q35" s="614">
        <f>SUM(Q22:Q33)</f>
        <v>462731.57092494646</v>
      </c>
      <c r="R35" s="614"/>
      <c r="S35" s="614">
        <f>SUM(S22:S33)</f>
        <v>477467.24872587487</v>
      </c>
      <c r="T35" s="614"/>
      <c r="U35" s="614">
        <f>SUM(U22:U33)</f>
        <v>492716.98600620677</v>
      </c>
      <c r="V35" s="614"/>
      <c r="W35" s="614">
        <f>SUM(W22:W33)</f>
        <v>508498.74106284871</v>
      </c>
      <c r="X35" s="614"/>
      <c r="Y35" s="614">
        <f>SUM(Y22:Y33)</f>
        <v>524831.10005740169</v>
      </c>
      <c r="Z35" s="614"/>
      <c r="AA35" s="614">
        <f>SUM(AA22:AA33)</f>
        <v>541733.29897791101</v>
      </c>
      <c r="AB35" s="614"/>
      <c r="AC35" s="614">
        <f>SUM(AC22:AC33)</f>
        <v>559225.24636900832</v>
      </c>
      <c r="AD35" s="614"/>
      <c r="AE35" s="614">
        <f>SUM(AE22:AE33)</f>
        <v>577327.54685733153</v>
      </c>
      <c r="AF35" s="614"/>
      <c r="AG35" s="614">
        <f>SUM(AG22:AG33)</f>
        <v>596061.52550005401</v>
      </c>
    </row>
    <row r="36" spans="1:35" ht="13.8">
      <c r="A36" s="600"/>
      <c r="B36" s="600"/>
      <c r="C36" s="611"/>
      <c r="D36" s="600"/>
      <c r="E36" s="613"/>
      <c r="F36" s="613"/>
      <c r="G36" s="613"/>
      <c r="H36" s="613"/>
      <c r="I36" s="613"/>
      <c r="J36" s="613"/>
      <c r="K36" s="613"/>
      <c r="L36" s="613"/>
      <c r="M36" s="613"/>
      <c r="N36" s="613"/>
      <c r="O36" s="613"/>
      <c r="P36" s="613"/>
      <c r="Q36" s="613"/>
      <c r="R36" s="613"/>
      <c r="S36" s="613"/>
      <c r="T36" s="613"/>
      <c r="U36" s="613"/>
      <c r="V36" s="613"/>
      <c r="W36" s="613"/>
      <c r="X36" s="613"/>
      <c r="Y36" s="613"/>
      <c r="Z36" s="613"/>
      <c r="AA36" s="613"/>
      <c r="AB36" s="613"/>
      <c r="AC36" s="613"/>
      <c r="AD36" s="613"/>
      <c r="AE36" s="613"/>
      <c r="AF36" s="613"/>
      <c r="AG36" s="613"/>
    </row>
    <row r="37" spans="1:35" ht="13.8">
      <c r="A37" s="614" t="s">
        <v>1201</v>
      </c>
      <c r="B37" s="614"/>
      <c r="C37" s="615"/>
      <c r="D37" s="614"/>
      <c r="E37" s="614">
        <f>E11-E35</f>
        <v>29042.799999999988</v>
      </c>
      <c r="F37" s="614"/>
      <c r="G37" s="614">
        <f>G11-G35</f>
        <v>30202.524999999965</v>
      </c>
      <c r="H37" s="614"/>
      <c r="I37" s="614">
        <f>I11-I35</f>
        <v>30197.784424999903</v>
      </c>
      <c r="J37" s="614"/>
      <c r="K37" s="614">
        <f>K11-K35</f>
        <v>31020.31308112503</v>
      </c>
      <c r="L37" s="614"/>
      <c r="M37" s="614">
        <f>M11-M35</f>
        <v>32661.493620245659</v>
      </c>
      <c r="N37" s="614"/>
      <c r="O37" s="614">
        <f>O11-O35</f>
        <v>34112.342639767448</v>
      </c>
      <c r="P37" s="614"/>
      <c r="Q37" s="614">
        <f>Q11-Q35</f>
        <v>34363.49625648302</v>
      </c>
      <c r="R37" s="614"/>
      <c r="S37" s="614">
        <f>S11-S35</f>
        <v>36405.195135090267</v>
      </c>
      <c r="T37" s="614"/>
      <c r="U37" s="614">
        <f>U11-U35</f>
        <v>37227.268951282545</v>
      </c>
      <c r="V37" s="614"/>
      <c r="W37" s="614">
        <f>W11-W35</f>
        <v>38819.12026857771</v>
      </c>
      <c r="X37" s="614"/>
      <c r="Y37" s="614">
        <f>Y11-Y35</f>
        <v>40169.707807310391</v>
      </c>
      <c r="Z37" s="614"/>
      <c r="AA37" s="614">
        <f>AA11-AA35</f>
        <v>41267.529083418893</v>
      </c>
      <c r="AB37" s="614"/>
      <c r="AC37" s="614">
        <f>AC11-AC35</f>
        <v>42100.602393854759</v>
      </c>
      <c r="AD37" s="614"/>
      <c r="AE37" s="614">
        <f>AE11-AE35</f>
        <v>42656.448124603136</v>
      </c>
      <c r="AF37" s="614"/>
      <c r="AG37" s="614">
        <f>AG11-AG35</f>
        <v>42922.069356428925</v>
      </c>
    </row>
    <row r="38" spans="1:35" ht="13.8">
      <c r="A38" s="600"/>
      <c r="B38" s="600"/>
      <c r="C38" s="611"/>
      <c r="D38" s="600"/>
      <c r="E38" s="613"/>
      <c r="F38" s="613"/>
      <c r="G38" s="613"/>
      <c r="H38" s="613"/>
      <c r="I38" s="613"/>
      <c r="J38" s="613"/>
      <c r="K38" s="613"/>
      <c r="L38" s="613"/>
      <c r="M38" s="613"/>
      <c r="N38" s="613"/>
      <c r="O38" s="613"/>
      <c r="P38" s="613"/>
      <c r="Q38" s="613"/>
      <c r="R38" s="613"/>
      <c r="S38" s="613"/>
      <c r="T38" s="613"/>
      <c r="U38" s="613"/>
      <c r="V38" s="613"/>
      <c r="W38" s="613"/>
      <c r="X38" s="613"/>
      <c r="Y38" s="613"/>
      <c r="Z38" s="613"/>
      <c r="AA38" s="613"/>
      <c r="AB38" s="613"/>
      <c r="AC38" s="613"/>
      <c r="AD38" s="613"/>
      <c r="AE38" s="613"/>
      <c r="AF38" s="613"/>
      <c r="AG38" s="613"/>
    </row>
    <row r="39" spans="1:35" ht="13.8">
      <c r="A39" s="609" t="s">
        <v>1202</v>
      </c>
      <c r="B39" s="600"/>
      <c r="C39" s="611"/>
      <c r="D39" s="600"/>
      <c r="E39" s="613"/>
      <c r="F39" s="613"/>
      <c r="G39" s="613"/>
      <c r="H39" s="613"/>
      <c r="I39" s="613"/>
      <c r="J39" s="613"/>
      <c r="K39" s="613"/>
      <c r="L39" s="613"/>
      <c r="M39" s="613"/>
      <c r="N39" s="613"/>
      <c r="O39" s="613"/>
      <c r="P39" s="613"/>
      <c r="Q39" s="613"/>
      <c r="R39" s="613"/>
      <c r="S39" s="613"/>
      <c r="T39" s="613"/>
      <c r="U39" s="613"/>
      <c r="V39" s="613"/>
      <c r="W39" s="613"/>
      <c r="X39" s="613"/>
      <c r="Y39" s="613"/>
      <c r="Z39" s="613"/>
      <c r="AA39" s="613"/>
      <c r="AB39" s="613"/>
      <c r="AC39" s="613"/>
      <c r="AD39" s="613"/>
      <c r="AE39" s="613"/>
      <c r="AF39" s="613"/>
      <c r="AG39" s="613"/>
    </row>
    <row r="40" spans="1:35" ht="13.8">
      <c r="A40" s="616"/>
      <c r="B40" s="617"/>
      <c r="C40" s="611"/>
      <c r="D40" s="600"/>
      <c r="E40" s="610">
        <f>Application!AF630</f>
        <v>0</v>
      </c>
      <c r="F40" s="610"/>
      <c r="G40" s="610">
        <f>$E$40</f>
        <v>0</v>
      </c>
      <c r="H40" s="610"/>
      <c r="I40" s="610">
        <f>$E$40</f>
        <v>0</v>
      </c>
      <c r="J40" s="610"/>
      <c r="K40" s="610">
        <f>$E$40</f>
        <v>0</v>
      </c>
      <c r="L40" s="610"/>
      <c r="M40" s="610">
        <f>$E$40</f>
        <v>0</v>
      </c>
      <c r="N40" s="610"/>
      <c r="O40" s="610">
        <f>$E$40</f>
        <v>0</v>
      </c>
      <c r="P40" s="610"/>
      <c r="Q40" s="610">
        <f>$E$40</f>
        <v>0</v>
      </c>
      <c r="R40" s="610"/>
      <c r="S40" s="610">
        <f>$E$40</f>
        <v>0</v>
      </c>
      <c r="T40" s="610"/>
      <c r="U40" s="610">
        <f>$E$40</f>
        <v>0</v>
      </c>
      <c r="V40" s="610"/>
      <c r="W40" s="610">
        <f>$E$40</f>
        <v>0</v>
      </c>
      <c r="X40" s="610"/>
      <c r="Y40" s="610">
        <f>$E$40</f>
        <v>0</v>
      </c>
      <c r="Z40" s="610"/>
      <c r="AA40" s="610">
        <f>$E$40</f>
        <v>0</v>
      </c>
      <c r="AB40" s="610"/>
      <c r="AC40" s="610">
        <f>$E$40</f>
        <v>0</v>
      </c>
      <c r="AD40" s="610"/>
      <c r="AE40" s="610">
        <f>$E$40</f>
        <v>0</v>
      </c>
      <c r="AF40" s="610"/>
      <c r="AG40" s="610">
        <f>$E$40</f>
        <v>0</v>
      </c>
      <c r="AH40" s="600"/>
      <c r="AI40" s="600"/>
    </row>
    <row r="41" spans="1:35" ht="13.8">
      <c r="A41" s="616"/>
      <c r="B41" s="617"/>
      <c r="C41" s="611"/>
      <c r="D41" s="600"/>
      <c r="E41" s="613"/>
      <c r="F41" s="613"/>
      <c r="G41" s="613">
        <f>$E$41</f>
        <v>0</v>
      </c>
      <c r="H41" s="613"/>
      <c r="I41" s="613">
        <f>$E$41</f>
        <v>0</v>
      </c>
      <c r="J41" s="613"/>
      <c r="K41" s="613">
        <f>$E$41</f>
        <v>0</v>
      </c>
      <c r="L41" s="613"/>
      <c r="M41" s="613">
        <f>$E$41</f>
        <v>0</v>
      </c>
      <c r="N41" s="613"/>
      <c r="O41" s="613">
        <f>$E$41</f>
        <v>0</v>
      </c>
      <c r="P41" s="613"/>
      <c r="Q41" s="613">
        <f>$E$41</f>
        <v>0</v>
      </c>
      <c r="R41" s="613"/>
      <c r="S41" s="613">
        <f>$E$41</f>
        <v>0</v>
      </c>
      <c r="T41" s="613"/>
      <c r="U41" s="613">
        <f>$E$41</f>
        <v>0</v>
      </c>
      <c r="V41" s="613"/>
      <c r="W41" s="613">
        <f>$E$41</f>
        <v>0</v>
      </c>
      <c r="X41" s="613"/>
      <c r="Y41" s="613">
        <f>$E$41</f>
        <v>0</v>
      </c>
      <c r="Z41" s="613"/>
      <c r="AA41" s="613">
        <f>$E$41</f>
        <v>0</v>
      </c>
      <c r="AB41" s="613"/>
      <c r="AC41" s="613">
        <f>$E$41</f>
        <v>0</v>
      </c>
      <c r="AD41" s="613"/>
      <c r="AE41" s="613">
        <f>$E$41</f>
        <v>0</v>
      </c>
      <c r="AF41" s="613"/>
      <c r="AG41" s="613">
        <f>$E$41</f>
        <v>0</v>
      </c>
      <c r="AH41" s="600"/>
      <c r="AI41" s="600"/>
    </row>
    <row r="42" spans="1:35" ht="13.8">
      <c r="A42" s="616"/>
      <c r="B42" s="617"/>
      <c r="C42" s="611"/>
      <c r="D42" s="600"/>
      <c r="E42" s="623"/>
      <c r="F42" s="613"/>
      <c r="G42" s="623">
        <f>$E$42</f>
        <v>0</v>
      </c>
      <c r="H42" s="613"/>
      <c r="I42" s="623">
        <f>$E$42</f>
        <v>0</v>
      </c>
      <c r="J42" s="613"/>
      <c r="K42" s="623">
        <f>$E$42</f>
        <v>0</v>
      </c>
      <c r="L42" s="613"/>
      <c r="M42" s="623">
        <f>$E$42</f>
        <v>0</v>
      </c>
      <c r="N42" s="613"/>
      <c r="O42" s="623">
        <f>$E$42</f>
        <v>0</v>
      </c>
      <c r="P42" s="613"/>
      <c r="Q42" s="623">
        <f>$E$42</f>
        <v>0</v>
      </c>
      <c r="R42" s="613"/>
      <c r="S42" s="623">
        <f>$E$42</f>
        <v>0</v>
      </c>
      <c r="T42" s="613"/>
      <c r="U42" s="623">
        <f>$E$42</f>
        <v>0</v>
      </c>
      <c r="V42" s="613"/>
      <c r="W42" s="623">
        <f>$E$42</f>
        <v>0</v>
      </c>
      <c r="X42" s="613"/>
      <c r="Y42" s="623">
        <f>$E$42</f>
        <v>0</v>
      </c>
      <c r="Z42" s="613"/>
      <c r="AA42" s="623">
        <f>$E$42</f>
        <v>0</v>
      </c>
      <c r="AB42" s="613"/>
      <c r="AC42" s="623">
        <f>$E$42</f>
        <v>0</v>
      </c>
      <c r="AD42" s="613"/>
      <c r="AE42" s="623">
        <f>$E$42</f>
        <v>0</v>
      </c>
      <c r="AF42" s="613"/>
      <c r="AG42" s="623">
        <f>$E$42</f>
        <v>0</v>
      </c>
      <c r="AH42" s="600"/>
      <c r="AI42" s="600"/>
    </row>
    <row r="43" spans="1:35" ht="13.8">
      <c r="A43" s="614" t="s">
        <v>1203</v>
      </c>
      <c r="B43" s="614"/>
      <c r="C43" s="615"/>
      <c r="D43" s="614"/>
      <c r="E43" s="614">
        <f>SUM(E40:E42)</f>
        <v>0</v>
      </c>
      <c r="F43" s="614"/>
      <c r="G43" s="614">
        <f>SUM(G40:G42)</f>
        <v>0</v>
      </c>
      <c r="H43" s="614"/>
      <c r="I43" s="614">
        <f>SUM(I40:I42)</f>
        <v>0</v>
      </c>
      <c r="J43" s="614"/>
      <c r="K43" s="614">
        <f>SUM(K40:K42)</f>
        <v>0</v>
      </c>
      <c r="L43" s="614"/>
      <c r="M43" s="614">
        <f>SUM(M40:M42)</f>
        <v>0</v>
      </c>
      <c r="N43" s="614"/>
      <c r="O43" s="614">
        <f>SUM(O40:O42)</f>
        <v>0</v>
      </c>
      <c r="P43" s="614"/>
      <c r="Q43" s="614">
        <f>SUM(Q40:Q42)</f>
        <v>0</v>
      </c>
      <c r="R43" s="614"/>
      <c r="S43" s="614">
        <f>SUM(S40:S42)</f>
        <v>0</v>
      </c>
      <c r="T43" s="614"/>
      <c r="U43" s="614">
        <f>SUM(U40:U42)</f>
        <v>0</v>
      </c>
      <c r="V43" s="614"/>
      <c r="W43" s="614">
        <f>SUM(W40:W42)</f>
        <v>0</v>
      </c>
      <c r="X43" s="614"/>
      <c r="Y43" s="614">
        <f>SUM(Y40:Y42)</f>
        <v>0</v>
      </c>
      <c r="Z43" s="614"/>
      <c r="AA43" s="614">
        <f>SUM(AA40:AA42)</f>
        <v>0</v>
      </c>
      <c r="AB43" s="614"/>
      <c r="AC43" s="614">
        <f>SUM(AC40:AC42)</f>
        <v>0</v>
      </c>
      <c r="AD43" s="614"/>
      <c r="AE43" s="614">
        <f>SUM(AE40:AE42)</f>
        <v>0</v>
      </c>
      <c r="AF43" s="614"/>
      <c r="AG43" s="614">
        <f>SUM(AG40:AG42)</f>
        <v>0</v>
      </c>
      <c r="AH43" s="614"/>
      <c r="AI43" s="614"/>
    </row>
    <row r="44" spans="1:35" ht="13.8">
      <c r="A44" s="600"/>
      <c r="B44" s="600"/>
      <c r="C44" s="611"/>
      <c r="D44" s="600"/>
      <c r="E44" s="613"/>
      <c r="F44" s="613"/>
      <c r="G44" s="613"/>
      <c r="H44" s="613"/>
      <c r="I44" s="613"/>
      <c r="J44" s="613"/>
      <c r="K44" s="613"/>
      <c r="L44" s="613"/>
      <c r="M44" s="613"/>
      <c r="N44" s="613"/>
      <c r="O44" s="613"/>
      <c r="P44" s="613"/>
      <c r="Q44" s="613"/>
      <c r="R44" s="613"/>
      <c r="S44" s="613"/>
      <c r="T44" s="613"/>
      <c r="U44" s="613"/>
      <c r="V44" s="613"/>
      <c r="W44" s="613"/>
      <c r="X44" s="613"/>
      <c r="Y44" s="613"/>
      <c r="Z44" s="613"/>
      <c r="AA44" s="613"/>
      <c r="AB44" s="613"/>
      <c r="AC44" s="613"/>
      <c r="AD44" s="613"/>
      <c r="AE44" s="613"/>
      <c r="AF44" s="613"/>
      <c r="AG44" s="613"/>
      <c r="AH44" s="600"/>
      <c r="AI44" s="600"/>
    </row>
    <row r="45" spans="1:35" ht="13.8">
      <c r="A45" s="614" t="s">
        <v>1204</v>
      </c>
      <c r="B45" s="614"/>
      <c r="C45" s="615"/>
      <c r="D45" s="614"/>
      <c r="E45" s="614">
        <f>E37-E43</f>
        <v>29042.799999999988</v>
      </c>
      <c r="F45" s="614"/>
      <c r="G45" s="614">
        <f>G37-G43</f>
        <v>30202.524999999965</v>
      </c>
      <c r="H45" s="614"/>
      <c r="I45" s="614">
        <f>I37-I43</f>
        <v>30197.784424999903</v>
      </c>
      <c r="J45" s="614"/>
      <c r="K45" s="614">
        <f>K37-K43</f>
        <v>31020.31308112503</v>
      </c>
      <c r="L45" s="614"/>
      <c r="M45" s="614">
        <f>M37-M43</f>
        <v>32661.493620245659</v>
      </c>
      <c r="N45" s="614"/>
      <c r="O45" s="614">
        <f>O37-O43</f>
        <v>34112.342639767448</v>
      </c>
      <c r="P45" s="614"/>
      <c r="Q45" s="614">
        <f>Q37-Q43</f>
        <v>34363.49625648302</v>
      </c>
      <c r="R45" s="614"/>
      <c r="S45" s="614">
        <f>S37-S43</f>
        <v>36405.195135090267</v>
      </c>
      <c r="T45" s="614"/>
      <c r="U45" s="614">
        <f>U37-U43</f>
        <v>37227.268951282545</v>
      </c>
      <c r="V45" s="614"/>
      <c r="W45" s="614">
        <f>W37-W43</f>
        <v>38819.12026857771</v>
      </c>
      <c r="X45" s="614"/>
      <c r="Y45" s="614">
        <f>Y37-Y43</f>
        <v>40169.707807310391</v>
      </c>
      <c r="Z45" s="614"/>
      <c r="AA45" s="614">
        <f>AA37-AA43</f>
        <v>41267.529083418893</v>
      </c>
      <c r="AB45" s="614"/>
      <c r="AC45" s="614">
        <f>AC37-AC43</f>
        <v>42100.602393854759</v>
      </c>
      <c r="AD45" s="614"/>
      <c r="AE45" s="614">
        <f>AE37-AE43</f>
        <v>42656.448124603136</v>
      </c>
      <c r="AF45" s="614"/>
      <c r="AG45" s="614">
        <f>AG37-AG43</f>
        <v>42922.069356428925</v>
      </c>
      <c r="AH45" s="614"/>
      <c r="AI45" s="614"/>
    </row>
    <row r="46" spans="1:35" ht="13.8">
      <c r="A46" s="600"/>
      <c r="B46" s="600"/>
      <c r="C46" s="611"/>
      <c r="D46" s="600"/>
      <c r="E46" s="613"/>
      <c r="F46" s="613"/>
      <c r="G46" s="613"/>
      <c r="H46" s="613"/>
      <c r="I46" s="613"/>
      <c r="J46" s="613"/>
      <c r="K46" s="613"/>
      <c r="L46" s="613"/>
      <c r="M46" s="613"/>
      <c r="N46" s="613"/>
      <c r="O46" s="613"/>
      <c r="P46" s="613"/>
      <c r="Q46" s="613"/>
      <c r="R46" s="613"/>
      <c r="S46" s="613"/>
      <c r="T46" s="613"/>
      <c r="U46" s="613"/>
      <c r="V46" s="613"/>
      <c r="W46" s="613"/>
      <c r="X46" s="613"/>
      <c r="Y46" s="613"/>
      <c r="Z46" s="613"/>
      <c r="AA46" s="613"/>
      <c r="AB46" s="613"/>
      <c r="AC46" s="613"/>
      <c r="AD46" s="613"/>
      <c r="AE46" s="613"/>
      <c r="AF46" s="613"/>
      <c r="AG46" s="613"/>
      <c r="AH46" s="600"/>
      <c r="AI46" s="600"/>
    </row>
    <row r="47" spans="1:35" ht="13.8">
      <c r="A47" s="618" t="s">
        <v>1205</v>
      </c>
      <c r="B47" s="618"/>
      <c r="C47" s="611"/>
      <c r="D47" s="618"/>
      <c r="E47" s="618">
        <f>E45/(E4+E6+E9)</f>
        <v>6.791985107716482E-2</v>
      </c>
      <c r="F47" s="618"/>
      <c r="G47" s="618">
        <f>G45/(G4+G6+G9)</f>
        <v>6.8909266631697677E-2</v>
      </c>
      <c r="H47" s="618"/>
      <c r="I47" s="618">
        <f>I45/(I4+I6+I9)</f>
        <v>6.7218000647421186E-2</v>
      </c>
      <c r="J47" s="618"/>
      <c r="K47" s="618">
        <f>K45/(K4+K6+K9)</f>
        <v>6.7364768462593622E-2</v>
      </c>
      <c r="L47" s="618"/>
      <c r="M47" s="618">
        <f>M45/(M4+M6+M9)</f>
        <v>6.9198840996306479E-2</v>
      </c>
      <c r="N47" s="618"/>
      <c r="O47" s="618">
        <f>O45/(O4+O6+O9)</f>
        <v>7.0509958519011554E-2</v>
      </c>
      <c r="P47" s="618"/>
      <c r="Q47" s="618">
        <f>Q45/(Q4+Q6+Q9)</f>
        <v>6.9296674318787568E-2</v>
      </c>
      <c r="R47" s="618"/>
      <c r="S47" s="618">
        <f>S45/(S4+S6+S9)</f>
        <v>7.1623336179220634E-2</v>
      </c>
      <c r="T47" s="618"/>
      <c r="U47" s="618">
        <f>U45/(U4+U6+U9)</f>
        <v>7.145432066234611E-2</v>
      </c>
      <c r="V47" s="618"/>
      <c r="W47" s="618">
        <f>W45/(W4+W6+W9)</f>
        <v>7.2692422376701288E-2</v>
      </c>
      <c r="X47" s="618"/>
      <c r="Y47" s="618">
        <f>Y45/(Y4+Y6+Y9)</f>
        <v>7.3386852173647446E-2</v>
      </c>
      <c r="Z47" s="618"/>
      <c r="AA47" s="618">
        <f>AA45/(AA4+AA6+AA9)</f>
        <v>7.3553643006229838E-2</v>
      </c>
      <c r="AB47" s="618"/>
      <c r="AC47" s="618">
        <f>AC45/(AC4+AC6+AC9)</f>
        <v>7.3208273715641828E-2</v>
      </c>
      <c r="AD47" s="618"/>
      <c r="AE47" s="618">
        <f>AE45/(AE4+AE6+AE9)</f>
        <v>7.2365685593711107E-2</v>
      </c>
      <c r="AF47" s="618"/>
      <c r="AG47" s="618">
        <f>AG45/(AG4+AG6+AG9)</f>
        <v>7.1040298458012505E-2</v>
      </c>
      <c r="AH47" s="618"/>
      <c r="AI47" s="618"/>
    </row>
    <row r="48" spans="1:35" ht="13.8">
      <c r="A48" s="618" t="s">
        <v>1206</v>
      </c>
      <c r="B48" s="618"/>
      <c r="C48" s="611"/>
      <c r="D48" s="618"/>
      <c r="E48" s="618" t="e">
        <f>E45/E43</f>
        <v>#DIV/0!</v>
      </c>
      <c r="F48" s="618"/>
      <c r="G48" s="618" t="e">
        <f>G45/G43</f>
        <v>#DIV/0!</v>
      </c>
      <c r="H48" s="618"/>
      <c r="I48" s="618" t="e">
        <f>I45/I43</f>
        <v>#DIV/0!</v>
      </c>
      <c r="J48" s="618"/>
      <c r="K48" s="618" t="e">
        <f>K45/K43</f>
        <v>#DIV/0!</v>
      </c>
      <c r="L48" s="618"/>
      <c r="M48" s="618" t="e">
        <f>M45/M43</f>
        <v>#DIV/0!</v>
      </c>
      <c r="N48" s="618"/>
      <c r="O48" s="618" t="e">
        <f>O45/O43</f>
        <v>#DIV/0!</v>
      </c>
      <c r="P48" s="618"/>
      <c r="Q48" s="618" t="e">
        <f>Q45/Q43</f>
        <v>#DIV/0!</v>
      </c>
      <c r="R48" s="618"/>
      <c r="S48" s="618" t="e">
        <f>S45/S43</f>
        <v>#DIV/0!</v>
      </c>
      <c r="T48" s="618"/>
      <c r="U48" s="618" t="e">
        <f>U45/U43</f>
        <v>#DIV/0!</v>
      </c>
      <c r="V48" s="618"/>
      <c r="W48" s="618" t="e">
        <f>W45/W43</f>
        <v>#DIV/0!</v>
      </c>
      <c r="X48" s="618"/>
      <c r="Y48" s="618" t="e">
        <f>Y45/Y43</f>
        <v>#DIV/0!</v>
      </c>
      <c r="Z48" s="618"/>
      <c r="AA48" s="618" t="e">
        <f>AA45/AA43</f>
        <v>#DIV/0!</v>
      </c>
      <c r="AB48" s="618"/>
      <c r="AC48" s="618" t="e">
        <f>AC45/AC43</f>
        <v>#DIV/0!</v>
      </c>
      <c r="AD48" s="618"/>
      <c r="AE48" s="618" t="e">
        <f>AE45/AE43</f>
        <v>#DIV/0!</v>
      </c>
      <c r="AF48" s="618"/>
      <c r="AG48" s="618" t="e">
        <f>AG45/AG43</f>
        <v>#DIV/0!</v>
      </c>
      <c r="AH48" s="618"/>
      <c r="AI48" s="618"/>
    </row>
    <row r="49" spans="1:35" ht="13.8">
      <c r="A49" s="619" t="s">
        <v>1207</v>
      </c>
      <c r="B49" s="619"/>
      <c r="C49" s="620"/>
      <c r="D49" s="619"/>
      <c r="E49" s="619" t="e">
        <f>E37/E43</f>
        <v>#DIV/0!</v>
      </c>
      <c r="F49" s="619"/>
      <c r="G49" s="619" t="e">
        <f>G37/G43</f>
        <v>#DIV/0!</v>
      </c>
      <c r="H49" s="619"/>
      <c r="I49" s="619" t="e">
        <f>I37/I43</f>
        <v>#DIV/0!</v>
      </c>
      <c r="J49" s="619"/>
      <c r="K49" s="619" t="e">
        <f>K37/K43</f>
        <v>#DIV/0!</v>
      </c>
      <c r="L49" s="619"/>
      <c r="M49" s="619" t="e">
        <f>M37/M43</f>
        <v>#DIV/0!</v>
      </c>
      <c r="N49" s="619"/>
      <c r="O49" s="619" t="e">
        <f>O37/O43</f>
        <v>#DIV/0!</v>
      </c>
      <c r="P49" s="619"/>
      <c r="Q49" s="619" t="e">
        <f>Q37/Q43</f>
        <v>#DIV/0!</v>
      </c>
      <c r="R49" s="619"/>
      <c r="S49" s="619" t="e">
        <f>S37/S43</f>
        <v>#DIV/0!</v>
      </c>
      <c r="T49" s="619"/>
      <c r="U49" s="619" t="e">
        <f>U37/U43</f>
        <v>#DIV/0!</v>
      </c>
      <c r="V49" s="619"/>
      <c r="W49" s="619" t="e">
        <f>W37/W43</f>
        <v>#DIV/0!</v>
      </c>
      <c r="X49" s="619"/>
      <c r="Y49" s="619" t="e">
        <f>Y37/Y43</f>
        <v>#DIV/0!</v>
      </c>
      <c r="Z49" s="619"/>
      <c r="AA49" s="619" t="e">
        <f>AA37/AA43</f>
        <v>#DIV/0!</v>
      </c>
      <c r="AB49" s="619"/>
      <c r="AC49" s="619" t="e">
        <f>AC37/AC43</f>
        <v>#DIV/0!</v>
      </c>
      <c r="AD49" s="619"/>
      <c r="AE49" s="619" t="e">
        <f>AE37/AE43</f>
        <v>#DIV/0!</v>
      </c>
      <c r="AF49" s="619"/>
      <c r="AG49" s="619" t="e">
        <f>AG37/AG43</f>
        <v>#DIV/0!</v>
      </c>
      <c r="AH49" s="619"/>
      <c r="AI49" s="619"/>
    </row>
    <row r="50" spans="1:35" ht="13.8">
      <c r="A50" s="621"/>
      <c r="B50" s="621"/>
      <c r="C50" s="622"/>
      <c r="D50" s="621"/>
      <c r="E50" s="623"/>
      <c r="F50" s="623"/>
      <c r="G50" s="623"/>
      <c r="H50" s="623"/>
      <c r="I50" s="623"/>
      <c r="J50" s="623"/>
      <c r="K50" s="623"/>
      <c r="L50" s="623"/>
      <c r="M50" s="623"/>
      <c r="N50" s="623"/>
      <c r="O50" s="623"/>
      <c r="P50" s="623"/>
      <c r="Q50" s="623"/>
      <c r="R50" s="623"/>
      <c r="S50" s="623"/>
      <c r="T50" s="623"/>
      <c r="U50" s="623"/>
      <c r="V50" s="623"/>
      <c r="W50" s="623"/>
      <c r="X50" s="623"/>
      <c r="Y50" s="623"/>
      <c r="Z50" s="623"/>
      <c r="AA50" s="623"/>
      <c r="AB50" s="623"/>
      <c r="AC50" s="623"/>
      <c r="AD50" s="623"/>
      <c r="AE50" s="623"/>
      <c r="AF50" s="623"/>
      <c r="AG50" s="623"/>
      <c r="AH50" s="600"/>
      <c r="AI50" s="600"/>
    </row>
    <row r="51" spans="1:35">
      <c r="A51" s="582" t="s">
        <v>1208</v>
      </c>
      <c r="B51" s="582"/>
      <c r="C51" s="624"/>
      <c r="D51" s="582"/>
      <c r="E51" s="607"/>
      <c r="F51" s="607"/>
      <c r="G51" s="607"/>
      <c r="H51" s="607"/>
      <c r="I51" s="607"/>
      <c r="J51" s="607"/>
      <c r="K51" s="607"/>
      <c r="L51" s="607"/>
      <c r="M51" s="607"/>
      <c r="N51" s="607"/>
      <c r="O51" s="607"/>
      <c r="P51" s="607"/>
      <c r="Q51" s="607"/>
      <c r="R51" s="607"/>
      <c r="S51" s="607"/>
      <c r="T51" s="607"/>
      <c r="U51" s="607"/>
      <c r="V51" s="607"/>
      <c r="W51" s="607"/>
      <c r="X51" s="607"/>
      <c r="Y51" s="607"/>
      <c r="Z51" s="607"/>
      <c r="AA51" s="607"/>
      <c r="AB51" s="607"/>
      <c r="AC51" s="607"/>
      <c r="AD51" s="607"/>
      <c r="AE51" s="607"/>
      <c r="AF51" s="607"/>
      <c r="AG51" s="607"/>
      <c r="AH51" s="582"/>
      <c r="AI51" s="582"/>
    </row>
    <row r="52" spans="1:35" s="1387" customFormat="1">
      <c r="A52" s="582"/>
      <c r="B52" s="582"/>
      <c r="C52" s="624"/>
      <c r="D52" s="582"/>
      <c r="E52" s="607"/>
      <c r="F52" s="607"/>
      <c r="G52" s="607"/>
      <c r="H52" s="607"/>
      <c r="I52" s="607"/>
      <c r="J52" s="607"/>
      <c r="K52" s="607"/>
      <c r="L52" s="607"/>
      <c r="M52" s="607"/>
      <c r="N52" s="607"/>
      <c r="O52" s="607"/>
      <c r="P52" s="607"/>
      <c r="Q52" s="607"/>
      <c r="R52" s="607"/>
      <c r="S52" s="607"/>
      <c r="T52" s="607"/>
      <c r="U52" s="607"/>
      <c r="V52" s="607"/>
      <c r="W52" s="607"/>
      <c r="X52" s="607"/>
      <c r="Y52" s="607"/>
      <c r="Z52" s="607"/>
      <c r="AA52" s="607"/>
      <c r="AB52" s="607"/>
      <c r="AC52" s="607"/>
      <c r="AD52" s="607"/>
      <c r="AE52" s="607"/>
      <c r="AF52" s="607"/>
      <c r="AG52" s="607"/>
      <c r="AH52" s="582"/>
      <c r="AI52" s="582"/>
    </row>
    <row r="53" spans="1:35">
      <c r="A53" s="598" t="s">
        <v>1209</v>
      </c>
      <c r="B53" s="598"/>
      <c r="C53" s="1409"/>
      <c r="D53" s="598"/>
      <c r="E53" s="627">
        <f>MIN(E75,E45-E54)</f>
        <v>21542.799999999988</v>
      </c>
      <c r="F53" s="598"/>
      <c r="G53" s="627">
        <f t="shared" ref="G53" si="27">MIN(G75,G45-G54)</f>
        <v>22477.524999999965</v>
      </c>
      <c r="H53" s="598"/>
      <c r="I53" s="627">
        <f t="shared" ref="I53" si="28">MIN(I75,I45-I54)</f>
        <v>22241.034424999903</v>
      </c>
      <c r="J53" s="598"/>
      <c r="K53" s="627">
        <f t="shared" ref="K53" si="29">MIN(K75,K45-K54)</f>
        <v>22824.860581125031</v>
      </c>
      <c r="L53" s="598"/>
      <c r="M53" s="627">
        <f t="shared" ref="M53" si="30">MIN(M75,M45-M54)</f>
        <v>24220.17754524566</v>
      </c>
      <c r="N53" s="598"/>
      <c r="O53" s="627">
        <f t="shared" ref="O53" si="31">MIN(O75,O45-O54)</f>
        <v>25417.787082517447</v>
      </c>
      <c r="P53" s="598"/>
      <c r="Q53" s="627">
        <f t="shared" ref="Q53" si="32">MIN(Q75,Q45-Q54)</f>
        <v>25408.104032515519</v>
      </c>
      <c r="R53" s="598"/>
      <c r="S53" s="627">
        <f t="shared" ref="S53" si="33">MIN(S75,S45-S54)</f>
        <v>27181.141144403744</v>
      </c>
      <c r="T53" s="598"/>
      <c r="U53" s="627">
        <f t="shared" ref="U53" si="34">MIN(U75,U45-U54)</f>
        <v>27726.493340875422</v>
      </c>
      <c r="V53" s="598"/>
      <c r="W53" s="627">
        <f t="shared" ref="W53" si="35">MIN(W75,W45-W54)</f>
        <v>29033.321389858374</v>
      </c>
      <c r="X53" s="598"/>
      <c r="Y53" s="627">
        <f t="shared" ref="Y53" si="36">MIN(Y75,Y45-Y54)</f>
        <v>30090.334962229477</v>
      </c>
      <c r="Z53" s="598"/>
      <c r="AA53" s="627">
        <f t="shared" ref="AA53" si="37">MIN(AA75,AA45-AA54)</f>
        <v>30885.775052985548</v>
      </c>
      <c r="AB53" s="598"/>
      <c r="AC53" s="627">
        <f t="shared" ref="AC53" si="38">MIN(AC75,AC45-AC54)</f>
        <v>31407.395742508415</v>
      </c>
      <c r="AD53" s="598"/>
      <c r="AE53" s="627">
        <f t="shared" ref="AE53" si="39">MIN(AE75,AE45-AE54)</f>
        <v>31642.445273716403</v>
      </c>
      <c r="AF53" s="598"/>
      <c r="AG53" s="627">
        <f t="shared" ref="AG53" si="40">MIN(AG75,AG45-AG54)</f>
        <v>31577.64642001559</v>
      </c>
      <c r="AH53" s="598"/>
      <c r="AI53" s="598"/>
    </row>
    <row r="54" spans="1:35">
      <c r="A54" s="582" t="s">
        <v>1210</v>
      </c>
      <c r="B54" s="582"/>
      <c r="C54" s="637"/>
      <c r="D54" s="582"/>
      <c r="E54" s="628">
        <v>7500</v>
      </c>
      <c r="F54" s="607"/>
      <c r="G54" s="1410">
        <f>E54*1.03</f>
        <v>7725</v>
      </c>
      <c r="H54" s="607"/>
      <c r="I54" s="1410">
        <f t="shared" ref="I54" si="41">G54*1.03</f>
        <v>7956.75</v>
      </c>
      <c r="J54" s="607"/>
      <c r="K54" s="1410">
        <f t="shared" ref="K54" si="42">I54*1.03</f>
        <v>8195.4524999999994</v>
      </c>
      <c r="L54" s="607"/>
      <c r="M54" s="1410">
        <f t="shared" ref="M54" si="43">K54*1.03</f>
        <v>8441.3160749999988</v>
      </c>
      <c r="N54" s="607"/>
      <c r="O54" s="1410">
        <f t="shared" ref="O54" si="44">M54*1.03</f>
        <v>8694.5555572499998</v>
      </c>
      <c r="P54" s="607"/>
      <c r="Q54" s="1410">
        <f t="shared" ref="Q54" si="45">O54*1.03</f>
        <v>8955.3922239674994</v>
      </c>
      <c r="R54" s="607"/>
      <c r="S54" s="1410">
        <f t="shared" ref="S54" si="46">Q54*1.03</f>
        <v>9224.0539906865251</v>
      </c>
      <c r="T54" s="607"/>
      <c r="U54" s="1410">
        <f t="shared" ref="U54" si="47">S54*1.03</f>
        <v>9500.7756104071213</v>
      </c>
      <c r="V54" s="607"/>
      <c r="W54" s="1410">
        <f t="shared" ref="W54" si="48">U54*1.03</f>
        <v>9785.7988787193353</v>
      </c>
      <c r="X54" s="607"/>
      <c r="Y54" s="1410">
        <f t="shared" ref="Y54" si="49">W54*1.03</f>
        <v>10079.372845080916</v>
      </c>
      <c r="Z54" s="607"/>
      <c r="AA54" s="1410">
        <f t="shared" ref="AA54" si="50">Y54*1.03</f>
        <v>10381.754030433343</v>
      </c>
      <c r="AB54" s="607"/>
      <c r="AC54" s="1410">
        <f t="shared" ref="AC54" si="51">AA54*1.03</f>
        <v>10693.206651346343</v>
      </c>
      <c r="AD54" s="607"/>
      <c r="AE54" s="1410">
        <f t="shared" ref="AE54" si="52">AC54*1.03</f>
        <v>11014.002850886734</v>
      </c>
      <c r="AF54" s="607"/>
      <c r="AG54" s="1410">
        <f t="shared" ref="AG54" si="53">AE54*1.03</f>
        <v>11344.422936413337</v>
      </c>
      <c r="AH54" s="607"/>
      <c r="AI54" s="607"/>
    </row>
    <row r="55" spans="1:35">
      <c r="A55" s="582" t="s">
        <v>1211</v>
      </c>
      <c r="B55" s="582"/>
      <c r="C55" s="637"/>
      <c r="D55" s="582"/>
      <c r="E55" s="628"/>
      <c r="F55" s="607"/>
      <c r="G55" s="1410">
        <f>E55*$C$53</f>
        <v>0</v>
      </c>
      <c r="H55" s="1410"/>
      <c r="I55" s="1410">
        <f>G55*$C$53</f>
        <v>0</v>
      </c>
      <c r="J55" s="1410"/>
      <c r="K55" s="1410">
        <f>I55*$C$53</f>
        <v>0</v>
      </c>
      <c r="L55" s="1410"/>
      <c r="M55" s="1410">
        <f>K55*$C$53</f>
        <v>0</v>
      </c>
      <c r="N55" s="1410"/>
      <c r="O55" s="1410">
        <f>M55*$C$53</f>
        <v>0</v>
      </c>
      <c r="P55" s="1410"/>
      <c r="Q55" s="1410">
        <f>O55*$C$53</f>
        <v>0</v>
      </c>
      <c r="R55" s="1410"/>
      <c r="S55" s="1410">
        <f>Q55*$C$53</f>
        <v>0</v>
      </c>
      <c r="T55" s="1410"/>
      <c r="U55" s="1410">
        <f>S55*$C$53</f>
        <v>0</v>
      </c>
      <c r="V55" s="1410"/>
      <c r="W55" s="1410">
        <f>U55*$C$53</f>
        <v>0</v>
      </c>
      <c r="X55" s="1410"/>
      <c r="Y55" s="1410">
        <f>W55*$C$53</f>
        <v>0</v>
      </c>
      <c r="Z55" s="1410"/>
      <c r="AA55" s="1410">
        <f>Y55*$C$53</f>
        <v>0</v>
      </c>
      <c r="AB55" s="1410"/>
      <c r="AC55" s="1410">
        <f>AA55*$C$53</f>
        <v>0</v>
      </c>
      <c r="AD55" s="1410"/>
      <c r="AE55" s="1410">
        <f>AC55*$C$53</f>
        <v>0</v>
      </c>
      <c r="AF55" s="1410"/>
      <c r="AG55" s="1410">
        <f>AE55*$C$53</f>
        <v>0</v>
      </c>
      <c r="AH55" s="607"/>
      <c r="AI55" s="607"/>
    </row>
    <row r="56" spans="1:35">
      <c r="A56" s="626"/>
      <c r="B56" s="626"/>
      <c r="C56" s="637"/>
      <c r="D56" s="582"/>
      <c r="E56" s="628"/>
      <c r="F56" s="607"/>
      <c r="G56" s="1410">
        <f>E56*$C$53</f>
        <v>0</v>
      </c>
      <c r="H56" s="1410"/>
      <c r="I56" s="1410">
        <f>G56*$C$53</f>
        <v>0</v>
      </c>
      <c r="J56" s="1410"/>
      <c r="K56" s="1410">
        <f>I56*$C$53</f>
        <v>0</v>
      </c>
      <c r="L56" s="1410"/>
      <c r="M56" s="1410">
        <f>K56*$C$53</f>
        <v>0</v>
      </c>
      <c r="N56" s="1410"/>
      <c r="O56" s="1410">
        <f>M56*$C$53</f>
        <v>0</v>
      </c>
      <c r="P56" s="1410"/>
      <c r="Q56" s="1410">
        <f>O56*$C$53</f>
        <v>0</v>
      </c>
      <c r="R56" s="1410"/>
      <c r="S56" s="1410">
        <f>Q56*$C$53</f>
        <v>0</v>
      </c>
      <c r="T56" s="1410"/>
      <c r="U56" s="1410">
        <f>S56*$C$53</f>
        <v>0</v>
      </c>
      <c r="V56" s="1410"/>
      <c r="W56" s="1410">
        <f>U56*$C$53</f>
        <v>0</v>
      </c>
      <c r="X56" s="1410"/>
      <c r="Y56" s="1410">
        <f>W56*$C$53</f>
        <v>0</v>
      </c>
      <c r="Z56" s="1410"/>
      <c r="AA56" s="1410">
        <f>Y56*$C$53</f>
        <v>0</v>
      </c>
      <c r="AB56" s="1410"/>
      <c r="AC56" s="1410">
        <f>AA56*$C$53</f>
        <v>0</v>
      </c>
      <c r="AD56" s="1410"/>
      <c r="AE56" s="1410">
        <f>AC56*$C$53</f>
        <v>0</v>
      </c>
      <c r="AF56" s="1410"/>
      <c r="AG56" s="1410">
        <f>AE56*$C$53</f>
        <v>0</v>
      </c>
      <c r="AH56" s="607"/>
      <c r="AI56" s="607"/>
    </row>
    <row r="57" spans="1:35">
      <c r="A57" s="626"/>
      <c r="B57" s="626"/>
      <c r="C57" s="637"/>
      <c r="D57" s="582"/>
      <c r="E57" s="633"/>
      <c r="F57" s="607"/>
      <c r="G57" s="1411">
        <f>E57*$C$53</f>
        <v>0</v>
      </c>
      <c r="H57" s="1410"/>
      <c r="I57" s="1411">
        <f>G57*$C$53</f>
        <v>0</v>
      </c>
      <c r="J57" s="1410"/>
      <c r="K57" s="1411">
        <f>I57*$C$53</f>
        <v>0</v>
      </c>
      <c r="L57" s="1410"/>
      <c r="M57" s="1411">
        <f>K57*$C$53</f>
        <v>0</v>
      </c>
      <c r="N57" s="1410"/>
      <c r="O57" s="1411">
        <f>M57*$C$53</f>
        <v>0</v>
      </c>
      <c r="P57" s="1410"/>
      <c r="Q57" s="1411">
        <f>O57*$C$53</f>
        <v>0</v>
      </c>
      <c r="R57" s="1410"/>
      <c r="S57" s="1411">
        <f>Q57*$C$53</f>
        <v>0</v>
      </c>
      <c r="T57" s="1410"/>
      <c r="U57" s="1411">
        <f>S57*$C$53</f>
        <v>0</v>
      </c>
      <c r="V57" s="1410"/>
      <c r="W57" s="1411">
        <f>U57*$C$53</f>
        <v>0</v>
      </c>
      <c r="X57" s="1410"/>
      <c r="Y57" s="1411">
        <f>W57*$C$53</f>
        <v>0</v>
      </c>
      <c r="Z57" s="1410"/>
      <c r="AA57" s="1411">
        <f>Y57*$C$53</f>
        <v>0</v>
      </c>
      <c r="AB57" s="1410"/>
      <c r="AC57" s="1411">
        <f>AA57*$C$53</f>
        <v>0</v>
      </c>
      <c r="AD57" s="1410"/>
      <c r="AE57" s="1411">
        <f>AC57*$C$53</f>
        <v>0</v>
      </c>
      <c r="AF57" s="1410"/>
      <c r="AG57" s="1411">
        <f>AE57*$C$53</f>
        <v>0</v>
      </c>
      <c r="AH57" s="607"/>
      <c r="AI57" s="607"/>
    </row>
    <row r="58" spans="1:35">
      <c r="A58" s="598" t="s">
        <v>1212</v>
      </c>
      <c r="B58" s="582"/>
      <c r="C58" s="624"/>
      <c r="D58" s="582"/>
      <c r="E58" s="607">
        <f>SUM(E53:E57)</f>
        <v>29042.799999999988</v>
      </c>
      <c r="F58" s="607"/>
      <c r="G58" s="607">
        <f>SUM(G53:G57)</f>
        <v>30202.524999999965</v>
      </c>
      <c r="H58" s="607"/>
      <c r="I58" s="607">
        <f>SUM(I53:I57)</f>
        <v>30197.784424999903</v>
      </c>
      <c r="J58" s="607"/>
      <c r="K58" s="607">
        <f>SUM(K53:K57)</f>
        <v>31020.31308112503</v>
      </c>
      <c r="L58" s="607"/>
      <c r="M58" s="607">
        <f>SUM(M53:M57)</f>
        <v>32661.493620245659</v>
      </c>
      <c r="N58" s="607"/>
      <c r="O58" s="607">
        <f>SUM(O53:O57)</f>
        <v>34112.342639767448</v>
      </c>
      <c r="P58" s="607"/>
      <c r="Q58" s="607">
        <f>SUM(Q53:Q57)</f>
        <v>34363.49625648302</v>
      </c>
      <c r="R58" s="607"/>
      <c r="S58" s="607">
        <f>SUM(S53:S57)</f>
        <v>36405.195135090267</v>
      </c>
      <c r="T58" s="607"/>
      <c r="U58" s="607">
        <f>SUM(U53:U57)</f>
        <v>37227.268951282545</v>
      </c>
      <c r="V58" s="607"/>
      <c r="W58" s="607">
        <f>SUM(W53:W57)</f>
        <v>38819.12026857771</v>
      </c>
      <c r="X58" s="607"/>
      <c r="Y58" s="607">
        <f>SUM(Y53:Y57)</f>
        <v>40169.707807310391</v>
      </c>
      <c r="Z58" s="607"/>
      <c r="AA58" s="607">
        <f>SUM(AA53:AA57)</f>
        <v>41267.529083418893</v>
      </c>
      <c r="AB58" s="607"/>
      <c r="AC58" s="607">
        <f>SUM(AC53:AC57)</f>
        <v>42100.602393854759</v>
      </c>
      <c r="AD58" s="607"/>
      <c r="AE58" s="607">
        <f>SUM(AE53:AE57)</f>
        <v>42656.448124603136</v>
      </c>
      <c r="AF58" s="607"/>
      <c r="AG58" s="607">
        <f>SUM(AG53:AG57)</f>
        <v>42922.069356428925</v>
      </c>
      <c r="AH58" s="607"/>
      <c r="AI58" s="607"/>
    </row>
    <row r="59" spans="1:35">
      <c r="A59" s="598"/>
      <c r="B59" s="582"/>
      <c r="C59" s="624"/>
      <c r="D59" s="582"/>
      <c r="E59" s="607"/>
      <c r="F59" s="607"/>
      <c r="G59" s="607"/>
      <c r="H59" s="607"/>
      <c r="I59" s="607"/>
      <c r="J59" s="607"/>
      <c r="K59" s="607"/>
      <c r="L59" s="607"/>
      <c r="M59" s="607"/>
      <c r="N59" s="607"/>
      <c r="O59" s="607"/>
      <c r="P59" s="607"/>
      <c r="Q59" s="607"/>
      <c r="R59" s="607"/>
      <c r="S59" s="607"/>
      <c r="T59" s="607"/>
      <c r="U59" s="607"/>
      <c r="V59" s="607"/>
      <c r="W59" s="607"/>
      <c r="X59" s="607"/>
      <c r="Y59" s="607"/>
      <c r="Z59" s="607"/>
      <c r="AA59" s="607"/>
      <c r="AB59" s="607"/>
      <c r="AC59" s="607"/>
      <c r="AD59" s="607"/>
      <c r="AE59" s="607"/>
      <c r="AF59" s="607"/>
      <c r="AG59" s="607"/>
      <c r="AH59" s="607"/>
      <c r="AI59" s="607"/>
    </row>
    <row r="60" spans="1:35">
      <c r="A60" s="598" t="s">
        <v>1213</v>
      </c>
      <c r="B60" s="598"/>
      <c r="C60" s="625"/>
      <c r="D60" s="598"/>
      <c r="E60" s="598">
        <f>E45-E58</f>
        <v>0</v>
      </c>
      <c r="F60" s="598"/>
      <c r="G60" s="598">
        <f>G45-G58</f>
        <v>0</v>
      </c>
      <c r="H60" s="598"/>
      <c r="I60" s="598">
        <f>I45-I58</f>
        <v>0</v>
      </c>
      <c r="J60" s="598"/>
      <c r="K60" s="598">
        <f>K45-K58</f>
        <v>0</v>
      </c>
      <c r="L60" s="598"/>
      <c r="M60" s="598">
        <f>M45-M58</f>
        <v>0</v>
      </c>
      <c r="N60" s="598"/>
      <c r="O60" s="598">
        <f>O45-O58</f>
        <v>0</v>
      </c>
      <c r="P60" s="598"/>
      <c r="Q60" s="598">
        <f>Q45-Q58</f>
        <v>0</v>
      </c>
      <c r="R60" s="598"/>
      <c r="S60" s="598">
        <f>S45-S58</f>
        <v>0</v>
      </c>
      <c r="T60" s="598"/>
      <c r="U60" s="598">
        <f>U45-U58</f>
        <v>0</v>
      </c>
      <c r="V60" s="598"/>
      <c r="W60" s="598">
        <f>W45-W58</f>
        <v>0</v>
      </c>
      <c r="X60" s="598"/>
      <c r="Y60" s="598">
        <f>Y45-Y58</f>
        <v>0</v>
      </c>
      <c r="Z60" s="598"/>
      <c r="AA60" s="598">
        <f>AA45-AA58</f>
        <v>0</v>
      </c>
      <c r="AB60" s="598"/>
      <c r="AC60" s="598">
        <f>AC45-AC58</f>
        <v>0</v>
      </c>
      <c r="AD60" s="598"/>
      <c r="AE60" s="598">
        <f>AE45-AE58</f>
        <v>0</v>
      </c>
      <c r="AF60" s="598"/>
      <c r="AG60" s="598">
        <f>AG45-AG58</f>
        <v>0</v>
      </c>
      <c r="AH60" s="598"/>
      <c r="AI60" s="598"/>
    </row>
    <row r="61" spans="1:35">
      <c r="A61" s="582"/>
      <c r="B61" s="582"/>
      <c r="C61" s="624"/>
      <c r="D61" s="582"/>
      <c r="E61" s="607"/>
      <c r="F61" s="607"/>
      <c r="G61" s="607"/>
      <c r="H61" s="607"/>
      <c r="I61" s="607"/>
      <c r="J61" s="607"/>
      <c r="K61" s="607"/>
      <c r="L61" s="607"/>
      <c r="M61" s="607"/>
      <c r="N61" s="607"/>
      <c r="O61" s="607"/>
      <c r="P61" s="607"/>
      <c r="Q61" s="607"/>
      <c r="R61" s="607"/>
      <c r="S61" s="607"/>
      <c r="T61" s="607"/>
      <c r="U61" s="607"/>
      <c r="V61" s="607"/>
      <c r="W61" s="607"/>
      <c r="X61" s="607"/>
      <c r="Y61" s="607"/>
      <c r="Z61" s="607"/>
      <c r="AA61" s="607"/>
      <c r="AB61" s="607"/>
      <c r="AC61" s="607"/>
      <c r="AD61" s="607"/>
      <c r="AE61" s="607"/>
      <c r="AF61" s="607"/>
      <c r="AG61" s="607"/>
      <c r="AH61" s="607"/>
      <c r="AI61" s="607"/>
    </row>
    <row r="62" spans="1:35">
      <c r="A62" s="598" t="s">
        <v>1214</v>
      </c>
      <c r="B62" s="598"/>
      <c r="C62" s="1417"/>
      <c r="D62" s="598"/>
      <c r="E62" s="627"/>
      <c r="F62" s="598"/>
      <c r="G62" s="1416">
        <f>G60*$C$62</f>
        <v>0</v>
      </c>
      <c r="H62" s="1412"/>
      <c r="I62" s="1416">
        <f>I60*$C$62</f>
        <v>0</v>
      </c>
      <c r="J62" s="1412"/>
      <c r="K62" s="1416">
        <f>K60*$C$62</f>
        <v>0</v>
      </c>
      <c r="L62" s="1412"/>
      <c r="M62" s="1416">
        <f>M60*$C$62</f>
        <v>0</v>
      </c>
      <c r="N62" s="1412"/>
      <c r="O62" s="1416">
        <f>O60*$C$62</f>
        <v>0</v>
      </c>
      <c r="P62" s="1412"/>
      <c r="Q62" s="1416">
        <f>Q60*$C$62</f>
        <v>0</v>
      </c>
      <c r="R62" s="1412"/>
      <c r="S62" s="1416">
        <f>S60*$C$62</f>
        <v>0</v>
      </c>
      <c r="T62" s="1412"/>
      <c r="U62" s="1416">
        <f>U60*$C$62</f>
        <v>0</v>
      </c>
      <c r="V62" s="1412"/>
      <c r="W62" s="1416">
        <f>W60*$C$62</f>
        <v>0</v>
      </c>
      <c r="X62" s="1412"/>
      <c r="Y62" s="1416">
        <f>Y60*$C$62</f>
        <v>0</v>
      </c>
      <c r="Z62" s="1412"/>
      <c r="AA62" s="1416">
        <f>AA60*$C$62</f>
        <v>0</v>
      </c>
      <c r="AB62" s="598"/>
      <c r="AC62" s="1416">
        <f>AC60*$C$62</f>
        <v>0</v>
      </c>
      <c r="AD62" s="598"/>
      <c r="AE62" s="1416">
        <f>AE60*$C$62</f>
        <v>0</v>
      </c>
      <c r="AF62" s="598"/>
      <c r="AG62" s="1416">
        <f>AG60*$C$62</f>
        <v>0</v>
      </c>
      <c r="AH62" s="598"/>
      <c r="AI62" s="598"/>
    </row>
    <row r="63" spans="1:35" s="2" customFormat="1">
      <c r="A63" s="1412"/>
      <c r="B63" s="1412"/>
      <c r="C63" s="1413"/>
      <c r="D63" s="1412"/>
      <c r="E63" s="1412"/>
      <c r="F63" s="1412"/>
      <c r="G63" s="1412"/>
      <c r="H63" s="1412"/>
      <c r="I63" s="1412"/>
      <c r="J63" s="1412"/>
      <c r="K63" s="1412"/>
      <c r="L63" s="1412"/>
      <c r="M63" s="1412"/>
      <c r="N63" s="1412"/>
      <c r="O63" s="1412"/>
      <c r="P63" s="1412"/>
      <c r="Q63" s="1412"/>
      <c r="R63" s="1412"/>
      <c r="S63" s="1412"/>
      <c r="T63" s="1412"/>
      <c r="U63" s="1412"/>
      <c r="V63" s="1412"/>
      <c r="W63" s="1412"/>
      <c r="X63" s="1412"/>
      <c r="Y63" s="1412"/>
      <c r="Z63" s="1412"/>
      <c r="AA63" s="1412"/>
      <c r="AB63" s="1412"/>
      <c r="AC63" s="1412"/>
      <c r="AD63" s="1412"/>
      <c r="AE63" s="1412"/>
      <c r="AF63" s="1412"/>
      <c r="AG63" s="1412"/>
      <c r="AH63" s="1412"/>
      <c r="AI63" s="1412"/>
    </row>
    <row r="64" spans="1:35">
      <c r="A64" s="582"/>
      <c r="B64" s="582"/>
      <c r="C64" s="624"/>
      <c r="D64" s="582"/>
      <c r="E64" s="607"/>
      <c r="F64" s="607"/>
      <c r="G64" s="607"/>
      <c r="H64" s="607"/>
      <c r="I64" s="607"/>
      <c r="J64" s="607"/>
      <c r="K64" s="607"/>
      <c r="L64" s="607"/>
      <c r="M64" s="607"/>
      <c r="N64" s="607"/>
      <c r="O64" s="607"/>
      <c r="P64" s="607"/>
      <c r="Q64" s="607"/>
      <c r="R64" s="607"/>
      <c r="S64" s="607"/>
      <c r="T64" s="607"/>
      <c r="U64" s="607"/>
      <c r="V64" s="607"/>
      <c r="W64" s="607"/>
      <c r="X64" s="607"/>
      <c r="Y64" s="607"/>
      <c r="Z64" s="607"/>
      <c r="AA64" s="607"/>
      <c r="AB64" s="607"/>
      <c r="AC64" s="607"/>
      <c r="AD64" s="607"/>
      <c r="AE64" s="607"/>
      <c r="AF64" s="607"/>
      <c r="AG64" s="607"/>
      <c r="AH64" s="607"/>
      <c r="AI64" s="607"/>
    </row>
    <row r="65" spans="1:35">
      <c r="A65" s="582" t="s">
        <v>1215</v>
      </c>
      <c r="B65" s="582"/>
      <c r="C65" s="1418"/>
      <c r="D65" s="582"/>
      <c r="E65" s="607"/>
      <c r="F65" s="607"/>
      <c r="G65" s="607"/>
      <c r="H65" s="607"/>
      <c r="I65" s="607"/>
      <c r="J65" s="607"/>
      <c r="K65" s="607"/>
      <c r="L65" s="607"/>
      <c r="M65" s="607"/>
      <c r="N65" s="607"/>
      <c r="O65" s="607"/>
      <c r="P65" s="607"/>
      <c r="Q65" s="607"/>
      <c r="R65" s="607"/>
      <c r="S65" s="607"/>
      <c r="T65" s="607"/>
      <c r="U65" s="607"/>
      <c r="V65" s="607"/>
      <c r="W65" s="607"/>
      <c r="X65" s="607"/>
      <c r="Y65" s="607"/>
      <c r="Z65" s="607"/>
      <c r="AA65" s="607"/>
      <c r="AB65" s="607"/>
      <c r="AC65" s="607"/>
      <c r="AD65" s="607"/>
      <c r="AE65" s="607"/>
      <c r="AF65" s="607"/>
      <c r="AG65" s="607"/>
      <c r="AH65" s="607"/>
      <c r="AI65" s="607"/>
    </row>
    <row r="66" spans="1:35" s="1387" customFormat="1">
      <c r="A66" s="1514" t="s">
        <v>2505</v>
      </c>
      <c r="B66" s="582"/>
      <c r="C66" s="1513"/>
      <c r="D66" s="582"/>
      <c r="E66" s="607">
        <f>E60*0.5</f>
        <v>0</v>
      </c>
      <c r="F66" s="582"/>
      <c r="G66" s="607">
        <f t="shared" ref="G66" si="54">G60*0.5</f>
        <v>0</v>
      </c>
      <c r="H66" s="582"/>
      <c r="I66" s="607">
        <f t="shared" ref="I66" si="55">I60*0.5</f>
        <v>0</v>
      </c>
      <c r="J66" s="582"/>
      <c r="K66" s="607">
        <f t="shared" ref="K66" si="56">K60*0.5</f>
        <v>0</v>
      </c>
      <c r="L66" s="582"/>
      <c r="M66" s="607">
        <f t="shared" ref="M66" si="57">M60*0.5</f>
        <v>0</v>
      </c>
      <c r="N66" s="582"/>
      <c r="O66" s="607">
        <f t="shared" ref="O66" si="58">O60*0.5</f>
        <v>0</v>
      </c>
      <c r="P66" s="582"/>
      <c r="Q66" s="607">
        <f t="shared" ref="Q66" si="59">Q60*0.5</f>
        <v>0</v>
      </c>
      <c r="R66" s="582"/>
      <c r="S66" s="607">
        <f t="shared" ref="S66" si="60">S60*0.5</f>
        <v>0</v>
      </c>
      <c r="T66" s="582"/>
      <c r="U66" s="607">
        <f t="shared" ref="U66" si="61">U60*0.5</f>
        <v>0</v>
      </c>
      <c r="V66" s="582"/>
      <c r="W66" s="607">
        <f t="shared" ref="W66" si="62">W60*0.5</f>
        <v>0</v>
      </c>
      <c r="X66" s="582"/>
      <c r="Y66" s="607">
        <f t="shared" ref="Y66" si="63">Y60*0.5</f>
        <v>0</v>
      </c>
      <c r="Z66" s="582"/>
      <c r="AA66" s="607">
        <f t="shared" ref="AA66" si="64">AA60*0.5</f>
        <v>0</v>
      </c>
      <c r="AB66" s="582"/>
      <c r="AC66" s="607">
        <f t="shared" ref="AC66" si="65">AC60*0.5</f>
        <v>0</v>
      </c>
      <c r="AD66" s="582"/>
      <c r="AE66" s="607">
        <f t="shared" ref="AE66" si="66">AE60*0.5</f>
        <v>0</v>
      </c>
      <c r="AF66" s="582"/>
      <c r="AG66" s="607">
        <f t="shared" ref="AG66" si="67">AG60*0.5</f>
        <v>0</v>
      </c>
      <c r="AH66" s="607"/>
      <c r="AI66" s="607"/>
    </row>
    <row r="67" spans="1:35">
      <c r="A67" s="1510" t="s">
        <v>2501</v>
      </c>
      <c r="B67" s="627"/>
      <c r="C67" s="625"/>
      <c r="D67" s="598"/>
      <c r="E67" s="627">
        <f>$E60*0.205/2</f>
        <v>0</v>
      </c>
      <c r="F67" s="598"/>
      <c r="G67" s="627">
        <f>G60*0.205/2</f>
        <v>0</v>
      </c>
      <c r="H67" s="598"/>
      <c r="I67" s="627">
        <f t="shared" ref="I67" si="68">I60*0.205/2</f>
        <v>0</v>
      </c>
      <c r="J67" s="598"/>
      <c r="K67" s="627">
        <f t="shared" ref="K67" si="69">K60*0.205/2</f>
        <v>0</v>
      </c>
      <c r="L67" s="598"/>
      <c r="M67" s="627">
        <f t="shared" ref="M67" si="70">M60*0.205/2</f>
        <v>0</v>
      </c>
      <c r="N67" s="598"/>
      <c r="O67" s="627">
        <f t="shared" ref="O67" si="71">O60*0.205/2</f>
        <v>0</v>
      </c>
      <c r="P67" s="598"/>
      <c r="Q67" s="627">
        <f t="shared" ref="Q67" si="72">Q60*0.205/2</f>
        <v>0</v>
      </c>
      <c r="R67" s="598"/>
      <c r="S67" s="627">
        <f t="shared" ref="S67" si="73">S60*0.205/2</f>
        <v>0</v>
      </c>
      <c r="T67" s="598"/>
      <c r="U67" s="627">
        <f t="shared" ref="U67" si="74">U60*0.205/2</f>
        <v>0</v>
      </c>
      <c r="V67" s="598"/>
      <c r="W67" s="627">
        <f t="shared" ref="W67" si="75">W60*0.205/2</f>
        <v>0</v>
      </c>
      <c r="X67" s="598"/>
      <c r="Y67" s="627">
        <f t="shared" ref="Y67" si="76">Y60*0.205/2</f>
        <v>0</v>
      </c>
      <c r="Z67" s="598"/>
      <c r="AA67" s="627">
        <f t="shared" ref="AA67" si="77">AA60*0.205/2</f>
        <v>0</v>
      </c>
      <c r="AB67" s="598"/>
      <c r="AC67" s="627">
        <f t="shared" ref="AC67" si="78">AC60*0.205/2</f>
        <v>0</v>
      </c>
      <c r="AD67" s="598"/>
      <c r="AE67" s="627">
        <f t="shared" ref="AE67" si="79">AE60*0.205/2</f>
        <v>0</v>
      </c>
      <c r="AF67" s="598"/>
      <c r="AG67" s="627">
        <f t="shared" ref="AG67" si="80">AG60*0.205/2</f>
        <v>0</v>
      </c>
      <c r="AH67" s="598"/>
      <c r="AI67" s="598"/>
    </row>
    <row r="68" spans="1:35">
      <c r="A68" s="1511" t="s">
        <v>2418</v>
      </c>
      <c r="B68" s="628"/>
      <c r="C68" s="608"/>
      <c r="D68" s="607"/>
      <c r="E68" s="627">
        <f>$E60*0.1255/2</f>
        <v>0</v>
      </c>
      <c r="F68" s="607"/>
      <c r="G68" s="627">
        <f>G60*0.1255/2</f>
        <v>0</v>
      </c>
      <c r="H68" s="607"/>
      <c r="I68" s="627">
        <f t="shared" ref="I68" si="81">I60*0.1255/2</f>
        <v>0</v>
      </c>
      <c r="J68" s="607"/>
      <c r="K68" s="627">
        <f t="shared" ref="K68" si="82">K60*0.1255/2</f>
        <v>0</v>
      </c>
      <c r="L68" s="607"/>
      <c r="M68" s="627">
        <f t="shared" ref="M68" si="83">M60*0.1255/2</f>
        <v>0</v>
      </c>
      <c r="N68" s="607"/>
      <c r="O68" s="627">
        <f t="shared" ref="O68" si="84">O60*0.1255/2</f>
        <v>0</v>
      </c>
      <c r="P68" s="607"/>
      <c r="Q68" s="627">
        <f t="shared" ref="Q68" si="85">Q60*0.1255/2</f>
        <v>0</v>
      </c>
      <c r="R68" s="607"/>
      <c r="S68" s="627">
        <f t="shared" ref="S68" si="86">S60*0.1255/2</f>
        <v>0</v>
      </c>
      <c r="T68" s="607"/>
      <c r="U68" s="627">
        <f t="shared" ref="U68" si="87">U60*0.1255/2</f>
        <v>0</v>
      </c>
      <c r="V68" s="607"/>
      <c r="W68" s="627">
        <f t="shared" ref="W68" si="88">W60*0.1255/2</f>
        <v>0</v>
      </c>
      <c r="X68" s="607"/>
      <c r="Y68" s="627">
        <f t="shared" ref="Y68" si="89">Y60*0.1255/2</f>
        <v>0</v>
      </c>
      <c r="Z68" s="607"/>
      <c r="AA68" s="627">
        <f t="shared" ref="AA68" si="90">AA60*0.1255/2</f>
        <v>0</v>
      </c>
      <c r="AB68" s="607"/>
      <c r="AC68" s="627">
        <f t="shared" ref="AC68" si="91">AC60*0.1255/2</f>
        <v>0</v>
      </c>
      <c r="AD68" s="607"/>
      <c r="AE68" s="627">
        <f t="shared" ref="AE68" si="92">AE60*0.1255/2</f>
        <v>0</v>
      </c>
      <c r="AF68" s="607"/>
      <c r="AG68" s="627">
        <f t="shared" ref="AG68" si="93">AG60*0.1255/2</f>
        <v>0</v>
      </c>
      <c r="AH68" s="607"/>
      <c r="AI68" s="607"/>
    </row>
    <row r="69" spans="1:35" s="1387" customFormat="1">
      <c r="A69" s="1510" t="s">
        <v>2502</v>
      </c>
      <c r="B69" s="627"/>
      <c r="C69" s="625"/>
      <c r="D69" s="598"/>
      <c r="E69" s="627">
        <f>$E60*0.2302/2</f>
        <v>0</v>
      </c>
      <c r="F69" s="598"/>
      <c r="G69" s="627">
        <f>G60*0.2302/2</f>
        <v>0</v>
      </c>
      <c r="H69" s="598"/>
      <c r="I69" s="627">
        <f t="shared" ref="I69" si="94">I60*0.2302/2</f>
        <v>0</v>
      </c>
      <c r="J69" s="598"/>
      <c r="K69" s="627">
        <f t="shared" ref="K69" si="95">K60*0.2302/2</f>
        <v>0</v>
      </c>
      <c r="L69" s="598"/>
      <c r="M69" s="627">
        <f t="shared" ref="M69" si="96">M60*0.2302/2</f>
        <v>0</v>
      </c>
      <c r="N69" s="598"/>
      <c r="O69" s="627">
        <f t="shared" ref="O69" si="97">O60*0.2302/2</f>
        <v>0</v>
      </c>
      <c r="P69" s="598"/>
      <c r="Q69" s="627">
        <f t="shared" ref="Q69" si="98">Q60*0.2302/2</f>
        <v>0</v>
      </c>
      <c r="R69" s="598"/>
      <c r="S69" s="627">
        <f t="shared" ref="S69" si="99">S60*0.2302/2</f>
        <v>0</v>
      </c>
      <c r="T69" s="598"/>
      <c r="U69" s="627">
        <f t="shared" ref="U69" si="100">U60*0.2302/2</f>
        <v>0</v>
      </c>
      <c r="V69" s="598"/>
      <c r="W69" s="627">
        <f t="shared" ref="W69" si="101">W60*0.2302/2</f>
        <v>0</v>
      </c>
      <c r="X69" s="598"/>
      <c r="Y69" s="627">
        <f t="shared" ref="Y69" si="102">Y60*0.2302/2</f>
        <v>0</v>
      </c>
      <c r="Z69" s="598"/>
      <c r="AA69" s="627">
        <f t="shared" ref="AA69" si="103">AA60*0.2302/2</f>
        <v>0</v>
      </c>
      <c r="AB69" s="598"/>
      <c r="AC69" s="627">
        <f t="shared" ref="AC69" si="104">AC60*0.2302/2</f>
        <v>0</v>
      </c>
      <c r="AD69" s="598"/>
      <c r="AE69" s="627">
        <f t="shared" ref="AE69" si="105">AE60*0.2302/2</f>
        <v>0</v>
      </c>
      <c r="AF69" s="598"/>
      <c r="AG69" s="627">
        <f t="shared" ref="AG69" si="106">AG60*0.2302/2</f>
        <v>0</v>
      </c>
      <c r="AH69" s="598"/>
      <c r="AI69" s="598"/>
    </row>
    <row r="70" spans="1:35" s="1387" customFormat="1">
      <c r="A70" s="1511" t="s">
        <v>2421</v>
      </c>
      <c r="B70" s="628"/>
      <c r="C70" s="608"/>
      <c r="D70" s="607"/>
      <c r="E70" s="627">
        <f>$E60*0.4393/2</f>
        <v>0</v>
      </c>
      <c r="F70" s="607"/>
      <c r="G70" s="627">
        <f>G60*0.4393/2</f>
        <v>0</v>
      </c>
      <c r="H70" s="607"/>
      <c r="I70" s="627">
        <f t="shared" ref="I70" si="107">I60*0.4393/2</f>
        <v>0</v>
      </c>
      <c r="J70" s="607"/>
      <c r="K70" s="627">
        <f t="shared" ref="K70" si="108">K60*0.4393/2</f>
        <v>0</v>
      </c>
      <c r="L70" s="607"/>
      <c r="M70" s="627">
        <f t="shared" ref="M70" si="109">M60*0.4393/2</f>
        <v>0</v>
      </c>
      <c r="N70" s="607"/>
      <c r="O70" s="627">
        <f t="shared" ref="O70" si="110">O60*0.4393/2</f>
        <v>0</v>
      </c>
      <c r="P70" s="607"/>
      <c r="Q70" s="627">
        <f t="shared" ref="Q70" si="111">Q60*0.4393/2</f>
        <v>0</v>
      </c>
      <c r="R70" s="607"/>
      <c r="S70" s="627">
        <f t="shared" ref="S70" si="112">S60*0.4393/2</f>
        <v>0</v>
      </c>
      <c r="T70" s="607"/>
      <c r="U70" s="627">
        <f t="shared" ref="U70" si="113">U60*0.4393/2</f>
        <v>0</v>
      </c>
      <c r="V70" s="607"/>
      <c r="W70" s="627">
        <f t="shared" ref="W70" si="114">W60*0.4393/2</f>
        <v>0</v>
      </c>
      <c r="X70" s="607"/>
      <c r="Y70" s="627">
        <f t="shared" ref="Y70" si="115">Y60*0.4393/2</f>
        <v>0</v>
      </c>
      <c r="Z70" s="607"/>
      <c r="AA70" s="627">
        <f t="shared" ref="AA70" si="116">AA60*0.4393/2</f>
        <v>0</v>
      </c>
      <c r="AB70" s="607"/>
      <c r="AC70" s="627">
        <f t="shared" ref="AC70" si="117">AC60*0.4393/2</f>
        <v>0</v>
      </c>
      <c r="AD70" s="607"/>
      <c r="AE70" s="627">
        <f t="shared" ref="AE70" si="118">AE60*0.4393/2</f>
        <v>0</v>
      </c>
      <c r="AF70" s="607"/>
      <c r="AG70" s="627">
        <f t="shared" ref="AG70" si="119">AG60*0.4393/2</f>
        <v>0</v>
      </c>
      <c r="AH70" s="607"/>
      <c r="AI70" s="607"/>
    </row>
    <row r="71" spans="1:35" s="2" customFormat="1">
      <c r="A71" s="1419" t="s">
        <v>1212</v>
      </c>
      <c r="B71" s="1414"/>
      <c r="C71" s="1415"/>
      <c r="D71" s="1414"/>
      <c r="E71" s="1412">
        <f>SUM(E66:E70)</f>
        <v>0</v>
      </c>
      <c r="F71" s="1412"/>
      <c r="G71" s="1412">
        <f>SUM(G66:G70)</f>
        <v>0</v>
      </c>
      <c r="H71" s="1412"/>
      <c r="I71" s="1412">
        <f t="shared" ref="I71" si="120">SUM(I66:I70)</f>
        <v>0</v>
      </c>
      <c r="J71" s="1412"/>
      <c r="K71" s="1412">
        <f t="shared" ref="K71" si="121">SUM(K66:K70)</f>
        <v>0</v>
      </c>
      <c r="L71" s="1412"/>
      <c r="M71" s="1412">
        <f t="shared" ref="M71" si="122">SUM(M66:M70)</f>
        <v>0</v>
      </c>
      <c r="N71" s="1412"/>
      <c r="O71" s="1412">
        <f t="shared" ref="O71" si="123">SUM(O66:O70)</f>
        <v>0</v>
      </c>
      <c r="P71" s="1412"/>
      <c r="Q71" s="1412">
        <f t="shared" ref="Q71" si="124">SUM(Q66:Q70)</f>
        <v>0</v>
      </c>
      <c r="R71" s="1412"/>
      <c r="S71" s="1412">
        <f t="shared" ref="S71" si="125">SUM(S66:S70)</f>
        <v>0</v>
      </c>
      <c r="T71" s="1412"/>
      <c r="U71" s="1412">
        <f t="shared" ref="U71" si="126">SUM(U66:U70)</f>
        <v>0</v>
      </c>
      <c r="V71" s="1412"/>
      <c r="W71" s="1412">
        <f t="shared" ref="W71" si="127">SUM(W66:W70)</f>
        <v>0</v>
      </c>
      <c r="X71" s="1412"/>
      <c r="Y71" s="1412">
        <f t="shared" ref="Y71" si="128">SUM(Y66:Y70)</f>
        <v>0</v>
      </c>
      <c r="Z71" s="1412"/>
      <c r="AA71" s="1412">
        <f t="shared" ref="AA71" si="129">SUM(AA66:AA70)</f>
        <v>0</v>
      </c>
      <c r="AB71" s="1412"/>
      <c r="AC71" s="1412">
        <f t="shared" ref="AC71" si="130">SUM(AC66:AC70)</f>
        <v>0</v>
      </c>
      <c r="AD71" s="1412"/>
      <c r="AE71" s="1412">
        <f t="shared" ref="AE71" si="131">SUM(AE66:AE70)</f>
        <v>0</v>
      </c>
      <c r="AF71" s="1412"/>
      <c r="AG71" s="1412">
        <f t="shared" ref="AG71" si="132">SUM(AG66:AG70)</f>
        <v>0</v>
      </c>
      <c r="AH71" s="1414"/>
      <c r="AI71" s="1414"/>
    </row>
    <row r="72" spans="1:35" s="2" customFormat="1">
      <c r="A72" s="1414"/>
      <c r="B72" s="1414"/>
      <c r="C72" s="1415"/>
      <c r="D72" s="1414"/>
      <c r="E72" s="1414"/>
      <c r="F72" s="1414"/>
      <c r="G72" s="1414"/>
      <c r="H72" s="1414"/>
      <c r="I72" s="1414"/>
      <c r="J72" s="1414"/>
      <c r="K72" s="1414"/>
      <c r="L72" s="1414"/>
      <c r="M72" s="1414"/>
      <c r="N72" s="1414"/>
      <c r="O72" s="1414"/>
      <c r="P72" s="1414"/>
      <c r="Q72" s="1414"/>
      <c r="R72" s="1414"/>
      <c r="S72" s="1414"/>
      <c r="T72" s="1414"/>
      <c r="U72" s="1414"/>
      <c r="V72" s="1414"/>
      <c r="W72" s="1414"/>
      <c r="X72" s="1414"/>
      <c r="Y72" s="1414"/>
      <c r="Z72" s="1414"/>
      <c r="AA72" s="1414"/>
      <c r="AB72" s="1414"/>
      <c r="AC72" s="1414"/>
      <c r="AD72" s="1414"/>
      <c r="AE72" s="1414"/>
      <c r="AF72" s="1414"/>
      <c r="AG72" s="1414"/>
      <c r="AH72" s="1414"/>
      <c r="AI72" s="1414"/>
    </row>
    <row r="73" spans="1:35">
      <c r="A73" s="1419" t="s">
        <v>2227</v>
      </c>
      <c r="B73" s="607"/>
      <c r="C73" s="608"/>
      <c r="D73" s="607"/>
      <c r="E73" s="598">
        <f>E60-E62-E71</f>
        <v>0</v>
      </c>
      <c r="F73" s="607"/>
      <c r="G73" s="598">
        <f>G60-G62-G71</f>
        <v>0</v>
      </c>
      <c r="H73" s="607"/>
      <c r="I73" s="598">
        <f>I60-I62-I71</f>
        <v>0</v>
      </c>
      <c r="J73" s="607"/>
      <c r="K73" s="598">
        <f>K60-K62-K71</f>
        <v>0</v>
      </c>
      <c r="L73" s="607"/>
      <c r="M73" s="598">
        <f>M60-M62-M71</f>
        <v>0</v>
      </c>
      <c r="N73" s="607"/>
      <c r="O73" s="598">
        <f>O60-O62-O71</f>
        <v>0</v>
      </c>
      <c r="P73" s="607"/>
      <c r="Q73" s="598">
        <f>Q60-Q62-Q71</f>
        <v>0</v>
      </c>
      <c r="R73" s="607"/>
      <c r="S73" s="598">
        <f>S60-S62-S71</f>
        <v>0</v>
      </c>
      <c r="T73" s="607"/>
      <c r="U73" s="598">
        <f>U60-U62-U71</f>
        <v>0</v>
      </c>
      <c r="V73" s="607"/>
      <c r="W73" s="598">
        <f>W60-W62-W71</f>
        <v>0</v>
      </c>
      <c r="X73" s="607"/>
      <c r="Y73" s="598">
        <f>Y60-Y62-Y71</f>
        <v>0</v>
      </c>
      <c r="Z73" s="607"/>
      <c r="AA73" s="598">
        <f>AA60-AA62-AA71</f>
        <v>0</v>
      </c>
      <c r="AB73" s="607"/>
      <c r="AC73" s="598">
        <f>AC60-AC62-AC71</f>
        <v>0</v>
      </c>
      <c r="AD73" s="607"/>
      <c r="AE73" s="598">
        <f>AE60-AE62-AE71</f>
        <v>0</v>
      </c>
      <c r="AF73" s="607"/>
      <c r="AG73" s="598">
        <f>AG60-AG62-AG71</f>
        <v>0</v>
      </c>
      <c r="AH73" s="607"/>
      <c r="AI73" s="607"/>
    </row>
    <row r="74" spans="1:35" s="1387" customFormat="1">
      <c r="A74" s="607"/>
      <c r="B74" s="607"/>
      <c r="C74" s="608"/>
      <c r="D74" s="607"/>
      <c r="E74" s="598"/>
      <c r="F74" s="607"/>
      <c r="G74" s="607"/>
      <c r="H74" s="607"/>
      <c r="I74" s="607"/>
      <c r="J74" s="607"/>
      <c r="K74" s="607"/>
      <c r="L74" s="607"/>
      <c r="M74" s="607"/>
      <c r="N74" s="607"/>
      <c r="O74" s="607"/>
      <c r="P74" s="607"/>
      <c r="Q74" s="607"/>
      <c r="R74" s="607"/>
      <c r="S74" s="607"/>
      <c r="T74" s="607"/>
      <c r="U74" s="607"/>
      <c r="V74" s="607"/>
      <c r="W74" s="607"/>
      <c r="X74" s="607"/>
      <c r="Y74" s="607"/>
      <c r="Z74" s="607"/>
      <c r="AA74" s="607"/>
      <c r="AB74" s="607"/>
      <c r="AC74" s="607"/>
      <c r="AD74" s="607"/>
      <c r="AE74" s="607"/>
      <c r="AF74" s="607"/>
      <c r="AG74" s="607"/>
      <c r="AH74" s="607"/>
      <c r="AI74" s="607"/>
    </row>
    <row r="75" spans="1:35" s="1387" customFormat="1">
      <c r="A75" s="1512" t="s">
        <v>2503</v>
      </c>
      <c r="B75" s="607"/>
      <c r="C75" s="608"/>
      <c r="D75" s="607"/>
      <c r="E75" s="598">
        <f>22500</f>
        <v>22500</v>
      </c>
      <c r="F75" s="607"/>
      <c r="G75" s="607">
        <f>E75*1.03</f>
        <v>23175</v>
      </c>
      <c r="H75" s="607"/>
      <c r="I75" s="607">
        <f t="shared" ref="I75" si="133">G75*1.03</f>
        <v>23870.25</v>
      </c>
      <c r="J75" s="607"/>
      <c r="K75" s="607">
        <f t="shared" ref="K75" si="134">I75*1.03</f>
        <v>24586.357500000002</v>
      </c>
      <c r="L75" s="607"/>
      <c r="M75" s="607">
        <f t="shared" ref="M75" si="135">K75*1.03</f>
        <v>25323.948225000004</v>
      </c>
      <c r="N75" s="607"/>
      <c r="O75" s="607">
        <f t="shared" ref="O75" si="136">M75*1.03</f>
        <v>26083.666671750005</v>
      </c>
      <c r="P75" s="607"/>
      <c r="Q75" s="607">
        <f t="shared" ref="Q75" si="137">O75*1.03</f>
        <v>26866.176671902507</v>
      </c>
      <c r="R75" s="607"/>
      <c r="S75" s="607">
        <f t="shared" ref="S75" si="138">Q75*1.03</f>
        <v>27672.161972059585</v>
      </c>
      <c r="T75" s="607"/>
      <c r="U75" s="607">
        <f t="shared" ref="U75" si="139">S75*1.03</f>
        <v>28502.326831221373</v>
      </c>
      <c r="V75" s="607"/>
      <c r="W75" s="607">
        <f t="shared" ref="W75" si="140">U75*1.03</f>
        <v>29357.396636158013</v>
      </c>
      <c r="X75" s="607"/>
      <c r="Y75" s="607">
        <f t="shared" ref="Y75" si="141">W75*1.03</f>
        <v>30238.118535242753</v>
      </c>
      <c r="Z75" s="607"/>
      <c r="AA75" s="607">
        <f t="shared" ref="AA75" si="142">Y75*1.03</f>
        <v>31145.262091300036</v>
      </c>
      <c r="AB75" s="607"/>
      <c r="AC75" s="607">
        <f t="shared" ref="AC75" si="143">AA75*1.03</f>
        <v>32079.619954039037</v>
      </c>
      <c r="AD75" s="607"/>
      <c r="AE75" s="607">
        <f t="shared" ref="AE75" si="144">AC75*1.03</f>
        <v>33042.008552660212</v>
      </c>
      <c r="AF75" s="607"/>
      <c r="AG75" s="607">
        <f t="shared" ref="AG75" si="145">AE75*1.03</f>
        <v>34033.26880924002</v>
      </c>
      <c r="AH75" s="607"/>
      <c r="AI75" s="607"/>
    </row>
    <row r="76" spans="1:35">
      <c r="A76" s="607" t="s">
        <v>1516</v>
      </c>
      <c r="B76" s="607"/>
      <c r="C76" s="608"/>
      <c r="D76" s="607"/>
      <c r="E76" s="607"/>
      <c r="F76" s="607"/>
      <c r="G76" s="607"/>
      <c r="H76" s="607"/>
      <c r="I76" s="607"/>
      <c r="J76" s="607"/>
      <c r="K76" s="607"/>
      <c r="L76" s="607"/>
      <c r="M76" s="607"/>
      <c r="N76" s="607"/>
      <c r="O76" s="607"/>
      <c r="P76" s="607"/>
      <c r="Q76" s="607"/>
      <c r="R76" s="607"/>
      <c r="S76" s="607"/>
      <c r="T76" s="607"/>
      <c r="U76" s="607"/>
      <c r="V76" s="607"/>
      <c r="W76" s="607"/>
      <c r="X76" s="607"/>
      <c r="Y76" s="607"/>
      <c r="Z76" s="607"/>
      <c r="AA76" s="607"/>
      <c r="AB76" s="607"/>
      <c r="AC76" s="607"/>
      <c r="AD76" s="607"/>
      <c r="AE76" s="607"/>
      <c r="AF76" s="607"/>
      <c r="AG76" s="607"/>
      <c r="AH76" s="607"/>
      <c r="AI76" s="607"/>
    </row>
    <row r="77" spans="1:35">
      <c r="A77" s="607"/>
      <c r="B77" s="607"/>
      <c r="C77" s="608"/>
      <c r="D77" s="607"/>
      <c r="E77" s="607"/>
      <c r="F77" s="607"/>
      <c r="G77" s="607"/>
      <c r="H77" s="607"/>
      <c r="I77" s="607"/>
      <c r="J77" s="607"/>
      <c r="K77" s="607"/>
      <c r="L77" s="607"/>
      <c r="M77" s="607"/>
      <c r="N77" s="607"/>
      <c r="O77" s="607"/>
      <c r="P77" s="607"/>
      <c r="Q77" s="607"/>
      <c r="R77" s="607"/>
      <c r="S77" s="607"/>
      <c r="T77" s="607"/>
      <c r="U77" s="607"/>
      <c r="V77" s="607"/>
      <c r="W77" s="607"/>
      <c r="X77" s="607"/>
      <c r="Y77" s="607"/>
      <c r="Z77" s="607"/>
      <c r="AA77" s="607"/>
      <c r="AB77" s="607"/>
      <c r="AC77" s="607"/>
      <c r="AD77" s="607"/>
      <c r="AE77" s="607"/>
      <c r="AF77" s="607"/>
      <c r="AG77" s="607"/>
      <c r="AH77" s="607"/>
      <c r="AI77" s="607"/>
    </row>
    <row r="78" spans="1:35" ht="30" customHeight="1">
      <c r="A78" s="2647" t="s">
        <v>1216</v>
      </c>
      <c r="B78" s="2647"/>
      <c r="C78" s="2647"/>
      <c r="D78" s="2647"/>
      <c r="E78" s="2647"/>
      <c r="F78" s="2647"/>
      <c r="G78" s="2647"/>
      <c r="H78" s="2647"/>
      <c r="I78" s="2647"/>
      <c r="J78" s="2647"/>
      <c r="K78" s="2647"/>
      <c r="L78" s="2647"/>
      <c r="M78" s="2647"/>
      <c r="N78" s="2647"/>
      <c r="O78" s="2647"/>
      <c r="P78" s="2647"/>
      <c r="Q78" s="2647"/>
      <c r="R78" s="2647"/>
      <c r="S78" s="2647"/>
      <c r="T78" s="2647"/>
      <c r="U78" s="2647"/>
      <c r="V78" s="2647"/>
      <c r="W78" s="2647"/>
      <c r="X78" s="2647"/>
      <c r="Y78" s="2647"/>
      <c r="Z78" s="2647"/>
      <c r="AA78" s="2647"/>
      <c r="AB78" s="2647"/>
      <c r="AC78" s="2647"/>
      <c r="AD78" s="2647"/>
      <c r="AE78" s="2647"/>
      <c r="AF78" s="2647"/>
      <c r="AG78" s="2647"/>
      <c r="AH78" s="629"/>
      <c r="AI78" s="629"/>
    </row>
    <row r="79" spans="1:35" hidden="1">
      <c r="A79" s="604"/>
      <c r="B79" s="604"/>
      <c r="C79" s="606"/>
      <c r="D79" s="604"/>
      <c r="E79" s="604"/>
      <c r="F79" s="604"/>
      <c r="G79" s="604"/>
      <c r="H79" s="604"/>
      <c r="I79" s="604"/>
      <c r="J79" s="604"/>
      <c r="K79" s="604"/>
      <c r="L79" s="604"/>
      <c r="M79" s="604"/>
      <c r="N79" s="604"/>
      <c r="O79" s="604"/>
      <c r="P79" s="604"/>
      <c r="Q79" s="604"/>
      <c r="R79" s="604"/>
      <c r="S79" s="604"/>
      <c r="T79" s="604"/>
      <c r="U79" s="604"/>
      <c r="V79" s="604"/>
      <c r="W79" s="604"/>
      <c r="X79" s="604"/>
      <c r="Y79" s="604"/>
      <c r="Z79" s="604"/>
      <c r="AA79" s="604"/>
      <c r="AB79" s="604"/>
      <c r="AC79" s="604"/>
      <c r="AD79" s="604"/>
      <c r="AE79" s="604"/>
      <c r="AF79" s="604"/>
      <c r="AG79" s="604"/>
      <c r="AH79" s="604"/>
      <c r="AI79" s="604"/>
    </row>
    <row r="80" spans="1:35" hidden="1">
      <c r="C80" s="606"/>
    </row>
    <row r="81" spans="3:3" hidden="1">
      <c r="C81" s="606"/>
    </row>
    <row r="82" spans="3:3" hidden="1">
      <c r="C82" s="606"/>
    </row>
    <row r="83" spans="3:3" hidden="1">
      <c r="C83" s="606"/>
    </row>
    <row r="84" spans="3:3" hidden="1">
      <c r="C84" s="606"/>
    </row>
    <row r="85" spans="3:3" hidden="1">
      <c r="C85" s="606"/>
    </row>
    <row r="86" spans="3:3" hidden="1">
      <c r="C86" s="606"/>
    </row>
    <row r="87" spans="3:3" hidden="1">
      <c r="C87" s="606"/>
    </row>
    <row r="88" spans="3:3" hidden="1">
      <c r="C88" s="606"/>
    </row>
    <row r="89" spans="3:3" hidden="1">
      <c r="C89" s="606"/>
    </row>
    <row r="90" spans="3:3" hidden="1">
      <c r="C90" s="606"/>
    </row>
    <row r="91" spans="3:3" hidden="1">
      <c r="C91" s="606"/>
    </row>
    <row r="92" spans="3:3" hidden="1">
      <c r="C92" s="606"/>
    </row>
    <row r="93" spans="3:3" hidden="1">
      <c r="C93" s="606"/>
    </row>
    <row r="94" spans="3:3" hidden="1">
      <c r="C94" s="606"/>
    </row>
    <row r="95" spans="3:3" hidden="1">
      <c r="C95" s="606"/>
    </row>
    <row r="96" spans="3:3" hidden="1">
      <c r="C96" s="606"/>
    </row>
    <row r="97" spans="3:3" hidden="1">
      <c r="C97" s="606"/>
    </row>
    <row r="98" spans="3:3" hidden="1">
      <c r="C98" s="606"/>
    </row>
    <row r="99" spans="3:3" hidden="1">
      <c r="C99" s="606"/>
    </row>
    <row r="100" spans="3:3" hidden="1">
      <c r="C100" s="606"/>
    </row>
    <row r="101" spans="3:3" hidden="1">
      <c r="C101" s="606"/>
    </row>
    <row r="102" spans="3:3" hidden="1">
      <c r="C102" s="606"/>
    </row>
    <row r="103" spans="3:3" hidden="1">
      <c r="C103" s="606"/>
    </row>
    <row r="104" spans="3:3" hidden="1">
      <c r="C104" s="606"/>
    </row>
    <row r="105" spans="3:3" hidden="1">
      <c r="C105" s="606"/>
    </row>
    <row r="106" spans="3:3" hidden="1">
      <c r="C106" s="606"/>
    </row>
    <row r="107" spans="3:3" hidden="1">
      <c r="C107" s="606"/>
    </row>
    <row r="108" spans="3:3" hidden="1">
      <c r="C108" s="606"/>
    </row>
    <row r="109" spans="3:3" hidden="1">
      <c r="C109" s="606"/>
    </row>
    <row r="110" spans="3:3" hidden="1">
      <c r="C110" s="606"/>
    </row>
    <row r="111" spans="3:3" hidden="1">
      <c r="C111" s="606"/>
    </row>
    <row r="112" spans="3:3" hidden="1">
      <c r="C112" s="606"/>
    </row>
    <row r="113" spans="3:3" hidden="1">
      <c r="C113" s="606"/>
    </row>
    <row r="114" spans="3:3" hidden="1">
      <c r="C114" s="606"/>
    </row>
    <row r="115" spans="3:3" hidden="1">
      <c r="C115" s="606"/>
    </row>
    <row r="116" spans="3:3" hidden="1">
      <c r="C116" s="606"/>
    </row>
    <row r="117" spans="3:3" hidden="1">
      <c r="C117" s="606"/>
    </row>
    <row r="118" spans="3:3" hidden="1">
      <c r="C118" s="606"/>
    </row>
    <row r="119" spans="3:3" hidden="1">
      <c r="C119" s="606"/>
    </row>
    <row r="120" spans="3:3" hidden="1">
      <c r="C120" s="606"/>
    </row>
    <row r="121" spans="3:3" hidden="1">
      <c r="C121" s="606"/>
    </row>
    <row r="122" spans="3:3" hidden="1">
      <c r="C122" s="606"/>
    </row>
    <row r="123" spans="3:3" hidden="1">
      <c r="C123" s="606"/>
    </row>
    <row r="124" spans="3:3" hidden="1">
      <c r="C124" s="606"/>
    </row>
    <row r="125" spans="3:3" hidden="1">
      <c r="C125" s="606"/>
    </row>
    <row r="126" spans="3:3" hidden="1">
      <c r="C126" s="606"/>
    </row>
    <row r="127" spans="3:3" hidden="1">
      <c r="C127" s="606"/>
    </row>
    <row r="128" spans="3:3" hidden="1">
      <c r="C128" s="606"/>
    </row>
    <row r="129" spans="3:3" hidden="1">
      <c r="C129" s="606"/>
    </row>
    <row r="130" spans="3:3" hidden="1">
      <c r="C130" s="606"/>
    </row>
    <row r="131" spans="3:3" hidden="1">
      <c r="C131" s="606"/>
    </row>
    <row r="132" spans="3:3" hidden="1">
      <c r="C132" s="606"/>
    </row>
    <row r="133" spans="3:3" hidden="1">
      <c r="C133" s="606"/>
    </row>
    <row r="134" spans="3:3" hidden="1">
      <c r="C134" s="606"/>
    </row>
    <row r="135" spans="3:3" hidden="1">
      <c r="C135" s="606"/>
    </row>
    <row r="136" spans="3:3" hidden="1">
      <c r="C136" s="606"/>
    </row>
    <row r="137" spans="3:3" hidden="1">
      <c r="C137" s="606"/>
    </row>
    <row r="138" spans="3:3" hidden="1">
      <c r="C138" s="606"/>
    </row>
    <row r="139" spans="3:3" hidden="1">
      <c r="C139" s="606"/>
    </row>
    <row r="140" spans="3:3" hidden="1">
      <c r="C140" s="606"/>
    </row>
    <row r="141" spans="3:3" hidden="1">
      <c r="C141" s="606"/>
    </row>
    <row r="142" spans="3:3" hidden="1">
      <c r="C142" s="606"/>
    </row>
    <row r="143" spans="3:3" hidden="1">
      <c r="C143" s="606"/>
    </row>
    <row r="144" spans="3:3" hidden="1">
      <c r="C144" s="606"/>
    </row>
    <row r="145" spans="3:3" hidden="1">
      <c r="C145" s="606"/>
    </row>
    <row r="146" spans="3:3" hidden="1">
      <c r="C146" s="606"/>
    </row>
    <row r="147" spans="3:3" hidden="1">
      <c r="C147" s="606"/>
    </row>
    <row r="148" spans="3:3" hidden="1">
      <c r="C148" s="606"/>
    </row>
    <row r="149" spans="3:3" hidden="1">
      <c r="C149" s="606"/>
    </row>
    <row r="150" spans="3:3" hidden="1">
      <c r="C150" s="606"/>
    </row>
    <row r="151" spans="3:3" hidden="1">
      <c r="C151" s="606"/>
    </row>
    <row r="152" spans="3:3" hidden="1">
      <c r="C152" s="606"/>
    </row>
    <row r="153" spans="3:3" hidden="1">
      <c r="C153" s="606"/>
    </row>
    <row r="154" spans="3:3" hidden="1">
      <c r="C154" s="606"/>
    </row>
    <row r="155" spans="3:3" hidden="1">
      <c r="C155" s="606"/>
    </row>
    <row r="156" spans="3:3" hidden="1">
      <c r="C156" s="606"/>
    </row>
    <row r="157" spans="3:3" hidden="1">
      <c r="C157" s="606"/>
    </row>
    <row r="158" spans="3:3" hidden="1">
      <c r="C158" s="606"/>
    </row>
    <row r="159" spans="3:3" hidden="1">
      <c r="C159" s="606"/>
    </row>
    <row r="160" spans="3:3" hidden="1">
      <c r="C160" s="606"/>
    </row>
    <row r="161" spans="3:3" hidden="1">
      <c r="C161" s="606"/>
    </row>
    <row r="162" spans="3:3" hidden="1">
      <c r="C162" s="606"/>
    </row>
    <row r="163" spans="3:3" hidden="1">
      <c r="C163" s="606"/>
    </row>
    <row r="164" spans="3:3" hidden="1">
      <c r="C164" s="606"/>
    </row>
    <row r="165" spans="3:3" hidden="1">
      <c r="C165" s="606"/>
    </row>
    <row r="166" spans="3:3" hidden="1">
      <c r="C166" s="606"/>
    </row>
    <row r="167" spans="3:3" hidden="1">
      <c r="C167" s="606"/>
    </row>
    <row r="168" spans="3:3" hidden="1">
      <c r="C168" s="606"/>
    </row>
    <row r="169" spans="3:3" hidden="1">
      <c r="C169" s="606"/>
    </row>
    <row r="170" spans="3:3" hidden="1">
      <c r="C170" s="606"/>
    </row>
    <row r="171" spans="3:3" hidden="1">
      <c r="C171" s="606"/>
    </row>
    <row r="172" spans="3:3" hidden="1">
      <c r="C172" s="606"/>
    </row>
    <row r="173" spans="3:3" hidden="1">
      <c r="C173" s="606"/>
    </row>
    <row r="174" spans="3:3" hidden="1">
      <c r="C174" s="606"/>
    </row>
    <row r="175" spans="3:3" hidden="1">
      <c r="C175" s="606"/>
    </row>
    <row r="176" spans="3:3" hidden="1">
      <c r="C176" s="606"/>
    </row>
    <row r="177" spans="3:3" hidden="1">
      <c r="C177" s="606"/>
    </row>
    <row r="178" spans="3:3" hidden="1">
      <c r="C178" s="606"/>
    </row>
    <row r="179" spans="3:3" hidden="1">
      <c r="C179" s="606"/>
    </row>
    <row r="180" spans="3:3" hidden="1">
      <c r="C180" s="606"/>
    </row>
    <row r="181" spans="3:3" hidden="1">
      <c r="C181" s="606"/>
    </row>
    <row r="182" spans="3:3" hidden="1">
      <c r="C182" s="606"/>
    </row>
    <row r="183" spans="3:3" hidden="1">
      <c r="C183" s="606"/>
    </row>
    <row r="184" spans="3:3" hidden="1">
      <c r="C184" s="606"/>
    </row>
    <row r="185" spans="3:3" hidden="1">
      <c r="C185" s="606"/>
    </row>
    <row r="186" spans="3:3" hidden="1">
      <c r="C186" s="606"/>
    </row>
    <row r="187" spans="3:3" hidden="1">
      <c r="C187" s="606"/>
    </row>
    <row r="188" spans="3:3" hidden="1">
      <c r="C188" s="606"/>
    </row>
    <row r="189" spans="3:3" hidden="1">
      <c r="C189" s="606"/>
    </row>
    <row r="190" spans="3:3" hidden="1">
      <c r="C190" s="606"/>
    </row>
    <row r="191" spans="3:3" hidden="1">
      <c r="C191" s="606"/>
    </row>
    <row r="192" spans="3:3" hidden="1">
      <c r="C192" s="606"/>
    </row>
    <row r="193" spans="3:3" hidden="1">
      <c r="C193" s="606"/>
    </row>
    <row r="194" spans="3:3" hidden="1">
      <c r="C194" s="606"/>
    </row>
    <row r="195" spans="3:3" hidden="1">
      <c r="C195" s="606"/>
    </row>
    <row r="196" spans="3:3" hidden="1">
      <c r="C196" s="606"/>
    </row>
    <row r="197" spans="3:3" hidden="1">
      <c r="C197" s="606"/>
    </row>
    <row r="198" spans="3:3" hidden="1">
      <c r="C198" s="606"/>
    </row>
    <row r="199" spans="3:3" hidden="1">
      <c r="C199" s="606"/>
    </row>
    <row r="200" spans="3:3" hidden="1">
      <c r="C200" s="606"/>
    </row>
    <row r="201" spans="3:3" hidden="1">
      <c r="C201" s="606"/>
    </row>
    <row r="202" spans="3:3" hidden="1">
      <c r="C202" s="606"/>
    </row>
    <row r="203" spans="3:3" hidden="1">
      <c r="C203" s="606"/>
    </row>
    <row r="204" spans="3:3" hidden="1">
      <c r="C204" s="606"/>
    </row>
    <row r="205" spans="3:3" hidden="1">
      <c r="C205" s="606"/>
    </row>
    <row r="206" spans="3:3" hidden="1">
      <c r="C206" s="606"/>
    </row>
    <row r="207" spans="3:3" hidden="1">
      <c r="C207" s="606"/>
    </row>
    <row r="208" spans="3:3" hidden="1">
      <c r="C208" s="606"/>
    </row>
    <row r="209" spans="3:3" hidden="1">
      <c r="C209" s="606"/>
    </row>
    <row r="210" spans="3:3" hidden="1">
      <c r="C210" s="606"/>
    </row>
    <row r="211" spans="3:3" hidden="1">
      <c r="C211" s="606"/>
    </row>
    <row r="212" spans="3:3" hidden="1">
      <c r="C212" s="606"/>
    </row>
    <row r="213" spans="3:3" hidden="1">
      <c r="C213" s="606"/>
    </row>
    <row r="214" spans="3:3" hidden="1">
      <c r="C214" s="606"/>
    </row>
    <row r="215" spans="3:3" hidden="1">
      <c r="C215" s="606"/>
    </row>
    <row r="216" spans="3:3" hidden="1">
      <c r="C216" s="606"/>
    </row>
    <row r="217" spans="3:3" hidden="1">
      <c r="C217" s="606"/>
    </row>
    <row r="218" spans="3:3" hidden="1">
      <c r="C218" s="606"/>
    </row>
  </sheetData>
  <customSheetViews>
    <customSheetView guid="{48A1B9AA-9520-4513-968D-1FB22989E0AF}" fitToPage="1">
      <pageMargins left="0.7" right="0.7" top="0.75" bottom="0.75" header="0.3" footer="0.3"/>
      <printOptions verticalCentered="1"/>
      <pageSetup paperSize="5" scale="56" firstPageNumber="46" orientation="landscape" useFirstPageNumber="1"/>
      <headerFooter>
        <oddFooter>&amp;LApril 18, 2016 Version&amp;C&amp;P&amp;R&amp;A</oddFooter>
      </headerFooter>
    </customSheetView>
  </customSheetViews>
  <mergeCells count="1">
    <mergeCell ref="A78:AG78"/>
  </mergeCells>
  <printOptions verticalCentered="1"/>
  <pageMargins left="0.7" right="0.7" top="0.75" bottom="0.75" header="0.3" footer="0.3"/>
  <pageSetup paperSize="5" scale="49" firstPageNumber="46" orientation="landscape" useFirstPageNumber="1" r:id="rId1"/>
  <headerFooter>
    <oddFooter>&amp;LMay 31, 2018 Version&amp;C&amp;P&amp;R&amp;A</oddFooter>
  </headerFooter>
  <ignoredErrors>
    <ignoredError sqref="AC30:AG30" evalError="1"/>
  </ignoredErrors>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opLeftCell="A3" zoomScaleSheetLayoutView="100" workbookViewId="0">
      <selection activeCell="I30" sqref="I30"/>
    </sheetView>
  </sheetViews>
  <sheetFormatPr defaultColWidth="9.109375" defaultRowHeight="13.8" zeroHeight="1"/>
  <cols>
    <col min="1" max="3" width="15.44140625" style="509" customWidth="1"/>
    <col min="4" max="4" width="3.44140625" style="509" customWidth="1"/>
    <col min="5" max="6" width="15.44140625" style="509" customWidth="1"/>
    <col min="7" max="7" width="3.44140625" style="461" customWidth="1"/>
    <col min="8" max="9" width="15.44140625" style="509" customWidth="1"/>
    <col min="10" max="16383" width="9.109375" style="509"/>
    <col min="16384" max="16384" width="0.44140625" style="509" customWidth="1"/>
  </cols>
  <sheetData>
    <row r="1" spans="1:9">
      <c r="A1" s="2648" t="s">
        <v>1297</v>
      </c>
      <c r="B1" s="2648"/>
      <c r="C1" s="2648"/>
      <c r="D1" s="2648"/>
      <c r="E1" s="2648"/>
      <c r="F1" s="2648"/>
      <c r="G1" s="2648"/>
      <c r="H1" s="2648"/>
      <c r="I1" s="2648"/>
    </row>
    <row r="2" spans="1:9">
      <c r="A2" s="936"/>
      <c r="B2" s="935"/>
      <c r="C2" s="935"/>
      <c r="D2" s="935"/>
      <c r="E2" s="935"/>
      <c r="F2" s="935"/>
      <c r="G2" s="936"/>
      <c r="H2" s="935"/>
      <c r="I2" s="935"/>
    </row>
    <row r="3" spans="1:9" ht="105" customHeight="1">
      <c r="A3" s="937" t="s">
        <v>1290</v>
      </c>
      <c r="B3" s="937" t="s">
        <v>1517</v>
      </c>
      <c r="C3" s="739" t="s">
        <v>1292</v>
      </c>
      <c r="D3" s="935"/>
      <c r="E3" s="739" t="s">
        <v>1293</v>
      </c>
      <c r="F3" s="937" t="s">
        <v>1294</v>
      </c>
      <c r="G3" s="938"/>
      <c r="H3" s="937" t="s">
        <v>1291</v>
      </c>
      <c r="I3" s="937" t="s">
        <v>1295</v>
      </c>
    </row>
    <row r="4" spans="1:9">
      <c r="A4" s="939" t="str">
        <f>Application!$B704</f>
        <v>SRO/Studio</v>
      </c>
      <c r="B4" s="947">
        <f>Application!$G704</f>
        <v>15</v>
      </c>
      <c r="C4" s="939">
        <f>Application!$O704</f>
        <v>367</v>
      </c>
      <c r="D4" s="940"/>
      <c r="E4" s="740">
        <v>875</v>
      </c>
      <c r="F4" s="941">
        <f>$E4*$B4</f>
        <v>13125</v>
      </c>
      <c r="G4" s="942"/>
      <c r="H4" s="939">
        <f>IF($E4=0,0,MAX($E4-$C4,0))</f>
        <v>508</v>
      </c>
      <c r="I4" s="941">
        <f>IF($H4=0,0,($H4*$B4))</f>
        <v>7620</v>
      </c>
    </row>
    <row r="5" spans="1:9">
      <c r="A5" s="939" t="str">
        <f>Application!$B705</f>
        <v>1 Bedroom</v>
      </c>
      <c r="B5" s="947">
        <f>Application!$G705</f>
        <v>5</v>
      </c>
      <c r="C5" s="939">
        <f>Application!$O705</f>
        <v>393</v>
      </c>
      <c r="D5" s="940"/>
      <c r="E5" s="740">
        <v>936</v>
      </c>
      <c r="F5" s="941">
        <f t="shared" ref="F5:F28" si="0">$E5*$B5</f>
        <v>4680</v>
      </c>
      <c r="G5" s="942"/>
      <c r="H5" s="939">
        <f t="shared" ref="H5:H28" si="1">IF($E5=0,0,MAX($E5-$C5,0))</f>
        <v>543</v>
      </c>
      <c r="I5" s="941">
        <f t="shared" ref="I5:I28" si="2">IF($H5=0,0,($H5*$B5))</f>
        <v>2715</v>
      </c>
    </row>
    <row r="6" spans="1:9">
      <c r="A6" s="939" t="str">
        <f>Application!$B706</f>
        <v>1 Bedroom</v>
      </c>
      <c r="B6" s="947">
        <f>Application!$G706</f>
        <v>7</v>
      </c>
      <c r="C6" s="939">
        <f>Application!$O706</f>
        <v>590</v>
      </c>
      <c r="D6" s="940"/>
      <c r="E6" s="740">
        <v>676</v>
      </c>
      <c r="F6" s="941">
        <f t="shared" si="0"/>
        <v>4732</v>
      </c>
      <c r="G6" s="942"/>
      <c r="H6" s="939">
        <f t="shared" si="1"/>
        <v>86</v>
      </c>
      <c r="I6" s="941">
        <f t="shared" si="2"/>
        <v>602</v>
      </c>
    </row>
    <row r="7" spans="1:9">
      <c r="A7" s="939" t="str">
        <f>Application!$B707</f>
        <v>2 Bedrooms</v>
      </c>
      <c r="B7" s="947">
        <f>Application!$G707</f>
        <v>1</v>
      </c>
      <c r="C7" s="939">
        <f>Application!$O707</f>
        <v>382</v>
      </c>
      <c r="D7" s="940"/>
      <c r="E7" s="740">
        <v>845</v>
      </c>
      <c r="F7" s="941">
        <f t="shared" si="0"/>
        <v>845</v>
      </c>
      <c r="G7" s="942"/>
      <c r="H7" s="939">
        <f t="shared" si="1"/>
        <v>463</v>
      </c>
      <c r="I7" s="941">
        <f t="shared" si="2"/>
        <v>463</v>
      </c>
    </row>
    <row r="8" spans="1:9">
      <c r="A8" s="939" t="str">
        <f>Application!$B708</f>
        <v>2 Bedrooms</v>
      </c>
      <c r="B8" s="947">
        <f>Application!$G708</f>
        <v>2</v>
      </c>
      <c r="C8" s="939">
        <f>Application!$O708</f>
        <v>540</v>
      </c>
      <c r="D8" s="940"/>
      <c r="E8" s="740">
        <v>845</v>
      </c>
      <c r="F8" s="941">
        <f t="shared" si="0"/>
        <v>1690</v>
      </c>
      <c r="G8" s="942"/>
      <c r="H8" s="939">
        <f t="shared" si="1"/>
        <v>305</v>
      </c>
      <c r="I8" s="941">
        <f t="shared" si="2"/>
        <v>610</v>
      </c>
    </row>
    <row r="9" spans="1:9">
      <c r="A9" s="939" t="str">
        <f>Application!$B709</f>
        <v>2 Bedrooms</v>
      </c>
      <c r="B9" s="947">
        <f>Application!$G709</f>
        <v>3</v>
      </c>
      <c r="C9" s="939">
        <f>Application!$O709</f>
        <v>697</v>
      </c>
      <c r="D9" s="940"/>
      <c r="E9" s="740">
        <v>845</v>
      </c>
      <c r="F9" s="941">
        <f t="shared" si="0"/>
        <v>2535</v>
      </c>
      <c r="G9" s="942"/>
      <c r="H9" s="939">
        <f t="shared" si="1"/>
        <v>148</v>
      </c>
      <c r="I9" s="941">
        <f t="shared" si="2"/>
        <v>444</v>
      </c>
    </row>
    <row r="10" spans="1:9">
      <c r="A10" s="939" t="str">
        <f>Application!$B710</f>
        <v>2 Bedrooms</v>
      </c>
      <c r="B10" s="947">
        <f>Application!$G710</f>
        <v>2</v>
      </c>
      <c r="C10" s="939">
        <v>780</v>
      </c>
      <c r="D10" s="940"/>
      <c r="E10" s="740">
        <v>845</v>
      </c>
      <c r="F10" s="941">
        <f>$E10*$B10</f>
        <v>1690</v>
      </c>
      <c r="G10" s="942"/>
      <c r="H10" s="939">
        <f>IF($E10=0,0,MAX($E10-$C10,0))</f>
        <v>65</v>
      </c>
      <c r="I10" s="941">
        <f>IF($H10=0,0,($H10*$B10))</f>
        <v>130</v>
      </c>
    </row>
    <row r="11" spans="1:9">
      <c r="A11" s="939" t="str">
        <f>Application!$B711</f>
        <v>3 Bedrooms</v>
      </c>
      <c r="B11" s="947">
        <f>Application!$G711</f>
        <v>1</v>
      </c>
      <c r="C11" s="939">
        <f>Application!$O711</f>
        <v>430</v>
      </c>
      <c r="D11" s="940"/>
      <c r="E11" s="740">
        <v>1198</v>
      </c>
      <c r="F11" s="941">
        <f t="shared" si="0"/>
        <v>1198</v>
      </c>
      <c r="G11" s="942"/>
      <c r="H11" s="939">
        <f t="shared" si="1"/>
        <v>768</v>
      </c>
      <c r="I11" s="941">
        <f t="shared" si="2"/>
        <v>768</v>
      </c>
    </row>
    <row r="12" spans="1:9">
      <c r="A12" s="939" t="str">
        <f>Application!$B712</f>
        <v>3 Bedrooms</v>
      </c>
      <c r="B12" s="947">
        <f>Application!$G712</f>
        <v>2</v>
      </c>
      <c r="C12" s="939">
        <f>Application!$O712</f>
        <v>612</v>
      </c>
      <c r="D12" s="940"/>
      <c r="E12" s="740">
        <v>1198</v>
      </c>
      <c r="F12" s="941">
        <f t="shared" si="0"/>
        <v>2396</v>
      </c>
      <c r="G12" s="942"/>
      <c r="H12" s="939">
        <f t="shared" si="1"/>
        <v>586</v>
      </c>
      <c r="I12" s="941">
        <f t="shared" si="2"/>
        <v>1172</v>
      </c>
    </row>
    <row r="13" spans="1:9">
      <c r="A13" s="939" t="str">
        <f>Application!$B713</f>
        <v>3 Bedrooms</v>
      </c>
      <c r="B13" s="947">
        <f>Application!$G713</f>
        <v>2</v>
      </c>
      <c r="C13" s="939">
        <f>Application!$O713</f>
        <v>975</v>
      </c>
      <c r="D13" s="940"/>
      <c r="E13" s="740">
        <v>1198</v>
      </c>
      <c r="F13" s="941">
        <f t="shared" si="0"/>
        <v>2396</v>
      </c>
      <c r="G13" s="942"/>
      <c r="H13" s="939">
        <f t="shared" si="1"/>
        <v>223</v>
      </c>
      <c r="I13" s="941">
        <f t="shared" si="2"/>
        <v>446</v>
      </c>
    </row>
    <row r="14" spans="1:9">
      <c r="A14" s="939">
        <f>Application!$B714</f>
        <v>0</v>
      </c>
      <c r="B14" s="947">
        <f>Application!$G714</f>
        <v>0</v>
      </c>
      <c r="C14" s="939">
        <f>Application!$O714</f>
        <v>0</v>
      </c>
      <c r="D14" s="940"/>
      <c r="E14" s="740"/>
      <c r="F14" s="941">
        <f t="shared" si="0"/>
        <v>0</v>
      </c>
      <c r="G14" s="942"/>
      <c r="H14" s="939">
        <f t="shared" si="1"/>
        <v>0</v>
      </c>
      <c r="I14" s="941">
        <f t="shared" si="2"/>
        <v>0</v>
      </c>
    </row>
    <row r="15" spans="1:9">
      <c r="A15" s="939">
        <f>Application!$B715</f>
        <v>0</v>
      </c>
      <c r="B15" s="947">
        <f>Application!$G715</f>
        <v>0</v>
      </c>
      <c r="C15" s="939">
        <f>Application!$O715</f>
        <v>0</v>
      </c>
      <c r="D15" s="940"/>
      <c r="E15" s="740"/>
      <c r="F15" s="941">
        <f t="shared" si="0"/>
        <v>0</v>
      </c>
      <c r="G15" s="942"/>
      <c r="H15" s="939">
        <f t="shared" si="1"/>
        <v>0</v>
      </c>
      <c r="I15" s="941">
        <f t="shared" si="2"/>
        <v>0</v>
      </c>
    </row>
    <row r="16" spans="1:9">
      <c r="A16" s="939">
        <f>Application!$B716</f>
        <v>0</v>
      </c>
      <c r="B16" s="947">
        <f>Application!$G716</f>
        <v>0</v>
      </c>
      <c r="C16" s="939">
        <f>Application!$O716</f>
        <v>0</v>
      </c>
      <c r="D16" s="940"/>
      <c r="E16" s="740"/>
      <c r="F16" s="941">
        <f t="shared" si="0"/>
        <v>0</v>
      </c>
      <c r="G16" s="942"/>
      <c r="H16" s="939">
        <f t="shared" si="1"/>
        <v>0</v>
      </c>
      <c r="I16" s="941">
        <f t="shared" si="2"/>
        <v>0</v>
      </c>
    </row>
    <row r="17" spans="1:9">
      <c r="A17" s="939">
        <f>Application!$B717</f>
        <v>0</v>
      </c>
      <c r="B17" s="947">
        <f>Application!$G717</f>
        <v>0</v>
      </c>
      <c r="C17" s="939">
        <f>Application!$O717</f>
        <v>0</v>
      </c>
      <c r="D17" s="940"/>
      <c r="E17" s="740"/>
      <c r="F17" s="941">
        <f t="shared" si="0"/>
        <v>0</v>
      </c>
      <c r="G17" s="942"/>
      <c r="H17" s="939">
        <f t="shared" si="1"/>
        <v>0</v>
      </c>
      <c r="I17" s="941">
        <f t="shared" si="2"/>
        <v>0</v>
      </c>
    </row>
    <row r="18" spans="1:9">
      <c r="A18" s="939">
        <f>Application!$B718</f>
        <v>0</v>
      </c>
      <c r="B18" s="947">
        <f>Application!$G718</f>
        <v>0</v>
      </c>
      <c r="C18" s="939">
        <f>Application!$O718</f>
        <v>0</v>
      </c>
      <c r="D18" s="940"/>
      <c r="E18" s="740"/>
      <c r="F18" s="941">
        <f t="shared" si="0"/>
        <v>0</v>
      </c>
      <c r="G18" s="942"/>
      <c r="H18" s="939">
        <f t="shared" si="1"/>
        <v>0</v>
      </c>
      <c r="I18" s="941">
        <f t="shared" si="2"/>
        <v>0</v>
      </c>
    </row>
    <row r="19" spans="1:9">
      <c r="A19" s="939">
        <f>Application!$B719</f>
        <v>0</v>
      </c>
      <c r="B19" s="947">
        <f>Application!$G719</f>
        <v>0</v>
      </c>
      <c r="C19" s="939">
        <f>Application!$O719</f>
        <v>0</v>
      </c>
      <c r="D19" s="940"/>
      <c r="E19" s="740"/>
      <c r="F19" s="941">
        <f t="shared" si="0"/>
        <v>0</v>
      </c>
      <c r="G19" s="942"/>
      <c r="H19" s="939">
        <f t="shared" si="1"/>
        <v>0</v>
      </c>
      <c r="I19" s="941">
        <f t="shared" si="2"/>
        <v>0</v>
      </c>
    </row>
    <row r="20" spans="1:9">
      <c r="A20" s="939">
        <f>Application!$B720</f>
        <v>0</v>
      </c>
      <c r="B20" s="947">
        <f>Application!$G720</f>
        <v>0</v>
      </c>
      <c r="C20" s="939">
        <f>Application!$O720</f>
        <v>0</v>
      </c>
      <c r="D20" s="940"/>
      <c r="E20" s="740"/>
      <c r="F20" s="941">
        <f t="shared" si="0"/>
        <v>0</v>
      </c>
      <c r="G20" s="942"/>
      <c r="H20" s="939">
        <f t="shared" si="1"/>
        <v>0</v>
      </c>
      <c r="I20" s="941">
        <f t="shared" si="2"/>
        <v>0</v>
      </c>
    </row>
    <row r="21" spans="1:9">
      <c r="A21" s="939">
        <f>Application!$B721</f>
        <v>0</v>
      </c>
      <c r="B21" s="947">
        <f>Application!$G721</f>
        <v>0</v>
      </c>
      <c r="C21" s="939">
        <f>Application!$O721</f>
        <v>0</v>
      </c>
      <c r="D21" s="940"/>
      <c r="E21" s="740"/>
      <c r="F21" s="941">
        <f t="shared" si="0"/>
        <v>0</v>
      </c>
      <c r="G21" s="942"/>
      <c r="H21" s="939">
        <f t="shared" si="1"/>
        <v>0</v>
      </c>
      <c r="I21" s="941">
        <f t="shared" si="2"/>
        <v>0</v>
      </c>
    </row>
    <row r="22" spans="1:9">
      <c r="A22" s="939">
        <f>Application!$B722</f>
        <v>0</v>
      </c>
      <c r="B22" s="947">
        <f>Application!$G722</f>
        <v>0</v>
      </c>
      <c r="C22" s="939">
        <f>Application!$O722</f>
        <v>0</v>
      </c>
      <c r="D22" s="940"/>
      <c r="E22" s="740"/>
      <c r="F22" s="941">
        <f t="shared" si="0"/>
        <v>0</v>
      </c>
      <c r="G22" s="942"/>
      <c r="H22" s="939">
        <f t="shared" si="1"/>
        <v>0</v>
      </c>
      <c r="I22" s="941">
        <f t="shared" si="2"/>
        <v>0</v>
      </c>
    </row>
    <row r="23" spans="1:9">
      <c r="A23" s="939">
        <f>Application!$B723</f>
        <v>0</v>
      </c>
      <c r="B23" s="947">
        <f>Application!$G723</f>
        <v>0</v>
      </c>
      <c r="C23" s="939">
        <f>Application!$O723</f>
        <v>0</v>
      </c>
      <c r="D23" s="940"/>
      <c r="E23" s="740"/>
      <c r="F23" s="941">
        <f t="shared" si="0"/>
        <v>0</v>
      </c>
      <c r="G23" s="942"/>
      <c r="H23" s="939">
        <f t="shared" si="1"/>
        <v>0</v>
      </c>
      <c r="I23" s="941">
        <f t="shared" si="2"/>
        <v>0</v>
      </c>
    </row>
    <row r="24" spans="1:9">
      <c r="A24" s="939">
        <f>Application!$B724</f>
        <v>0</v>
      </c>
      <c r="B24" s="947">
        <f>Application!$G724</f>
        <v>0</v>
      </c>
      <c r="C24" s="939">
        <f>Application!$O724</f>
        <v>0</v>
      </c>
      <c r="D24" s="940"/>
      <c r="E24" s="740"/>
      <c r="F24" s="941">
        <f t="shared" si="0"/>
        <v>0</v>
      </c>
      <c r="G24" s="942"/>
      <c r="H24" s="939">
        <f t="shared" si="1"/>
        <v>0</v>
      </c>
      <c r="I24" s="941">
        <f t="shared" si="2"/>
        <v>0</v>
      </c>
    </row>
    <row r="25" spans="1:9">
      <c r="A25" s="939">
        <f>Application!$B725</f>
        <v>0</v>
      </c>
      <c r="B25" s="947">
        <f>Application!$G725</f>
        <v>0</v>
      </c>
      <c r="C25" s="939">
        <f>Application!$O725</f>
        <v>0</v>
      </c>
      <c r="D25" s="940"/>
      <c r="E25" s="740"/>
      <c r="F25" s="941">
        <f t="shared" si="0"/>
        <v>0</v>
      </c>
      <c r="G25" s="942"/>
      <c r="H25" s="939">
        <f t="shared" si="1"/>
        <v>0</v>
      </c>
      <c r="I25" s="941">
        <f t="shared" si="2"/>
        <v>0</v>
      </c>
    </row>
    <row r="26" spans="1:9">
      <c r="A26" s="939">
        <f>Application!$B726</f>
        <v>0</v>
      </c>
      <c r="B26" s="947">
        <f>Application!$G726</f>
        <v>0</v>
      </c>
      <c r="C26" s="939">
        <f>Application!$O726</f>
        <v>0</v>
      </c>
      <c r="D26" s="940"/>
      <c r="E26" s="740"/>
      <c r="F26" s="941">
        <f t="shared" si="0"/>
        <v>0</v>
      </c>
      <c r="G26" s="942"/>
      <c r="H26" s="939">
        <f t="shared" si="1"/>
        <v>0</v>
      </c>
      <c r="I26" s="941">
        <f t="shared" si="2"/>
        <v>0</v>
      </c>
    </row>
    <row r="27" spans="1:9">
      <c r="A27" s="939">
        <f>Application!$B727</f>
        <v>0</v>
      </c>
      <c r="B27" s="947">
        <f>Application!$G727</f>
        <v>0</v>
      </c>
      <c r="C27" s="939">
        <f>Application!$O727</f>
        <v>0</v>
      </c>
      <c r="D27" s="940"/>
      <c r="E27" s="740"/>
      <c r="F27" s="941">
        <f t="shared" si="0"/>
        <v>0</v>
      </c>
      <c r="G27" s="942"/>
      <c r="H27" s="939">
        <f t="shared" si="1"/>
        <v>0</v>
      </c>
      <c r="I27" s="941">
        <f t="shared" si="2"/>
        <v>0</v>
      </c>
    </row>
    <row r="28" spans="1:9">
      <c r="A28" s="939">
        <f>Application!$B728</f>
        <v>0</v>
      </c>
      <c r="B28" s="947">
        <f>Application!$G728</f>
        <v>0</v>
      </c>
      <c r="C28" s="939">
        <f>Application!$O728</f>
        <v>0</v>
      </c>
      <c r="D28" s="940"/>
      <c r="E28" s="740"/>
      <c r="F28" s="941">
        <f t="shared" si="0"/>
        <v>0</v>
      </c>
      <c r="G28" s="942"/>
      <c r="H28" s="939">
        <f t="shared" si="1"/>
        <v>0</v>
      </c>
      <c r="I28" s="941">
        <f t="shared" si="2"/>
        <v>0</v>
      </c>
    </row>
    <row r="29" spans="1:9">
      <c r="A29" s="935"/>
      <c r="B29" s="935"/>
      <c r="C29" s="940"/>
      <c r="D29" s="940"/>
      <c r="E29" s="940"/>
      <c r="F29" s="940"/>
      <c r="G29" s="942"/>
      <c r="H29" s="940"/>
      <c r="I29" s="935"/>
    </row>
    <row r="30" spans="1:9">
      <c r="A30" s="943" t="s">
        <v>1296</v>
      </c>
      <c r="B30" s="944"/>
      <c r="C30" s="945">
        <f>Application!$P$729*12</f>
        <v>0</v>
      </c>
      <c r="D30" s="940"/>
      <c r="E30" s="940"/>
      <c r="F30" s="945">
        <f>SUM(F4:F28)*12</f>
        <v>423444</v>
      </c>
      <c r="G30" s="946"/>
      <c r="H30" s="944"/>
      <c r="I30" s="945">
        <f>SUM(I4:I28)*12</f>
        <v>179640</v>
      </c>
    </row>
    <row r="31" spans="1:9">
      <c r="A31" s="943"/>
      <c r="B31" s="944"/>
      <c r="C31" s="946"/>
      <c r="D31" s="940"/>
      <c r="E31" s="940"/>
      <c r="F31" s="946"/>
      <c r="G31" s="946"/>
      <c r="H31" s="944"/>
      <c r="I31" s="946"/>
    </row>
    <row r="32" spans="1:9">
      <c r="A32" s="935" t="s">
        <v>1298</v>
      </c>
      <c r="B32" s="935"/>
      <c r="C32" s="935"/>
      <c r="D32" s="935"/>
      <c r="E32" s="935"/>
      <c r="F32" s="935"/>
      <c r="G32" s="936"/>
      <c r="H32" s="935"/>
      <c r="I32" s="935"/>
    </row>
    <row r="33" spans="1:9">
      <c r="A33" s="935" t="s">
        <v>1300</v>
      </c>
      <c r="B33" s="935"/>
      <c r="C33" s="935"/>
      <c r="D33" s="935"/>
      <c r="E33" s="935"/>
      <c r="F33" s="935"/>
      <c r="G33" s="936"/>
      <c r="H33" s="935"/>
      <c r="I33" s="935"/>
    </row>
    <row r="34" spans="1:9">
      <c r="A34" s="935" t="s">
        <v>1518</v>
      </c>
      <c r="B34" s="935"/>
      <c r="C34" s="935"/>
      <c r="D34" s="935"/>
      <c r="E34" s="935"/>
      <c r="F34" s="935"/>
      <c r="G34" s="936"/>
      <c r="H34" s="935"/>
      <c r="I34" s="935"/>
    </row>
  </sheetData>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headerFooter>
        <oddFooter>&amp;LApril 18, 2016 Version&amp;C&amp;P&amp;R&amp;A</oddFooter>
      </headerFooter>
    </customSheetView>
  </customSheetViews>
  <mergeCells count="1">
    <mergeCell ref="A1:I1"/>
  </mergeCells>
  <printOptions horizontalCentered="1"/>
  <pageMargins left="0.7" right="0.7" top="0.75" bottom="0.75" header="0.3" footer="0.3"/>
  <pageSetup scale="80" firstPageNumber="47" orientation="portrait" useFirstPageNumber="1"/>
  <headerFooter>
    <oddFooter>&amp;C&amp;P&amp;R&amp;A</oddFooter>
  </headerFooter>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heetViews>
  <sheetFormatPr defaultColWidth="9.109375" defaultRowHeight="13.2"/>
  <cols>
    <col min="1" max="16384" width="9.109375" style="533"/>
  </cols>
  <sheetData/>
  <customSheetViews>
    <customSheetView guid="{48A1B9AA-9520-4513-968D-1FB22989E0AF}">
      <selection activeCell="M48" sqref="M48"/>
      <pageMargins left="0.7" right="0.7" top="0.75" bottom="0.75" header="0.3" footer="0.3"/>
      <pageSetup orientation="portrait" verticalDpi="0"/>
    </customSheetView>
  </customSheetViews>
  <pageMargins left="0.7" right="0.7" top="0.75" bottom="0.75" header="0.3" footer="0.3"/>
  <pageSetup orientation="portrait"/>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zoomScaleSheetLayoutView="100" workbookViewId="0">
      <selection activeCell="A2" sqref="A2"/>
    </sheetView>
  </sheetViews>
  <sheetFormatPr defaultColWidth="0" defaultRowHeight="13.2" zeroHeight="1"/>
  <cols>
    <col min="1" max="1" width="161.44140625" customWidth="1"/>
    <col min="2" max="16384" width="8.88671875" hidden="1"/>
  </cols>
  <sheetData>
    <row r="1" spans="1:1" s="483" customFormat="1" ht="45" customHeight="1">
      <c r="A1" s="773" t="s">
        <v>1361</v>
      </c>
    </row>
    <row r="2" spans="1:1" ht="15.6">
      <c r="A2" s="771"/>
    </row>
    <row r="3" spans="1:1" ht="15.6">
      <c r="A3" s="772" t="s">
        <v>1356</v>
      </c>
    </row>
    <row r="4" spans="1:1" ht="15.6">
      <c r="A4" s="772" t="s">
        <v>1357</v>
      </c>
    </row>
    <row r="5" spans="1:1" ht="15.6">
      <c r="A5" s="772" t="s">
        <v>1358</v>
      </c>
    </row>
    <row r="6" spans="1:1" ht="15.6">
      <c r="A6" s="772" t="s">
        <v>1359</v>
      </c>
    </row>
    <row r="7" spans="1:1" ht="15.6">
      <c r="A7" s="772" t="s">
        <v>1360</v>
      </c>
    </row>
    <row r="8" spans="1:1" ht="15.6">
      <c r="A8" s="897" t="s">
        <v>1487</v>
      </c>
    </row>
    <row r="9" spans="1:1" ht="15.6">
      <c r="A9" s="772" t="s">
        <v>1488</v>
      </c>
    </row>
    <row r="10" spans="1:1"/>
  </sheetData>
  <sheetProtection algorithmName="SHA-512" hashValue="OlJduezKLkn7qq+jgrQm+j3HZbh9xFSk5cA4BlnpzKUYTxy/NJxWQmemzEVyYlN5oUQUoGlip2mxmY82Ukvk+g==" saltValue="szz+NqHgmk2zc9i6PIUoJw==" spinCount="100000" sheet="1" objects="1" scenarios="1"/>
  <customSheetViews>
    <customSheetView guid="{48A1B9AA-9520-4513-968D-1FB22989E0AF}">
      <selection activeCell="A10" sqref="A10"/>
      <pageMargins left="0.7" right="0.7" top="0.75" bottom="0.75" header="0.3" footer="0.3"/>
      <pageSetup orientation="landscape"/>
    </customSheetView>
  </customSheetViews>
  <pageMargins left="0.7" right="0.7" top="0.75" bottom="0.75" header="0.3" footer="0.3"/>
  <pageSetup orientation="landscape"/>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81"/>
  <sheetViews>
    <sheetView showGridLines="0" showZeros="0" showWhiteSpace="0" view="pageBreakPreview" zoomScaleSheetLayoutView="100" workbookViewId="0">
      <selection activeCell="T13" sqref="T13:X13"/>
    </sheetView>
  </sheetViews>
  <sheetFormatPr defaultColWidth="0" defaultRowHeight="0" customHeight="1" zeroHeight="1"/>
  <cols>
    <col min="1" max="1" width="1.44140625" style="1268" customWidth="1"/>
    <col min="2" max="2" width="0.88671875" style="1268" customWidth="1"/>
    <col min="3" max="18" width="2.44140625" style="1268" customWidth="1"/>
    <col min="19" max="19" width="4" style="1268" customWidth="1"/>
    <col min="20" max="39" width="2.44140625" style="1268" customWidth="1"/>
    <col min="40" max="40" width="1.44140625" style="1268" customWidth="1"/>
    <col min="41" max="16384" width="2.44140625" style="2" hidden="1"/>
  </cols>
  <sheetData>
    <row r="1" spans="1:40" ht="12.75" customHeight="1">
      <c r="A1" s="2262" t="s">
        <v>1217</v>
      </c>
      <c r="B1" s="2263"/>
      <c r="C1" s="2263"/>
      <c r="D1" s="2263"/>
      <c r="E1" s="2263"/>
      <c r="F1" s="2263"/>
      <c r="G1" s="2263"/>
      <c r="H1" s="2263"/>
      <c r="I1" s="2263"/>
      <c r="J1" s="2263"/>
      <c r="K1" s="2263"/>
      <c r="L1" s="2263"/>
      <c r="M1" s="2263"/>
      <c r="N1" s="2263"/>
      <c r="O1" s="2263"/>
      <c r="P1" s="2263"/>
      <c r="Q1" s="2263"/>
      <c r="R1" s="2263"/>
      <c r="S1" s="2263"/>
      <c r="T1" s="2263"/>
      <c r="U1" s="2263"/>
      <c r="V1" s="2263"/>
      <c r="W1" s="2263"/>
      <c r="X1" s="2263"/>
      <c r="Y1" s="2263"/>
      <c r="Z1" s="2263"/>
      <c r="AA1" s="2263"/>
      <c r="AB1" s="2263"/>
      <c r="AC1" s="2263"/>
      <c r="AD1" s="2263"/>
      <c r="AE1" s="2263"/>
      <c r="AF1" s="2263"/>
      <c r="AG1" s="2263"/>
      <c r="AH1" s="2263"/>
      <c r="AI1" s="2263"/>
      <c r="AJ1" s="2263"/>
      <c r="AK1" s="2263"/>
      <c r="AL1" s="2263"/>
      <c r="AM1" s="2263"/>
      <c r="AN1" s="2263"/>
    </row>
    <row r="2" spans="1:40" ht="13.8" thickBot="1">
      <c r="A2" s="2264"/>
      <c r="B2" s="2264"/>
      <c r="C2" s="2264"/>
      <c r="D2" s="2264"/>
      <c r="E2" s="2264"/>
      <c r="F2" s="2264"/>
      <c r="G2" s="2264"/>
      <c r="H2" s="2264"/>
      <c r="I2" s="2264"/>
      <c r="J2" s="2264"/>
      <c r="K2" s="2264"/>
      <c r="L2" s="2264"/>
      <c r="M2" s="2264"/>
      <c r="N2" s="2264"/>
      <c r="O2" s="2264"/>
      <c r="P2" s="2264"/>
      <c r="Q2" s="2264"/>
      <c r="R2" s="2264"/>
      <c r="S2" s="2264"/>
      <c r="T2" s="2264"/>
      <c r="U2" s="2264"/>
      <c r="V2" s="2264"/>
      <c r="W2" s="2264"/>
      <c r="X2" s="2264"/>
      <c r="Y2" s="2264"/>
      <c r="Z2" s="2264"/>
      <c r="AA2" s="2264"/>
      <c r="AB2" s="2264"/>
      <c r="AC2" s="2264"/>
      <c r="AD2" s="2264"/>
      <c r="AE2" s="2264"/>
      <c r="AF2" s="2264"/>
      <c r="AG2" s="2264"/>
      <c r="AH2" s="2264"/>
      <c r="AI2" s="2264"/>
      <c r="AJ2" s="2264"/>
      <c r="AK2" s="2264"/>
      <c r="AL2" s="2264"/>
      <c r="AM2" s="2264"/>
      <c r="AN2" s="2264"/>
    </row>
    <row r="3" spans="1:40" ht="13.8" thickTop="1">
      <c r="A3" s="6"/>
      <c r="B3" s="35"/>
      <c r="C3" s="292"/>
      <c r="D3" s="292"/>
      <c r="E3" s="292"/>
      <c r="F3" s="292"/>
      <c r="G3" s="292"/>
      <c r="H3" s="292"/>
      <c r="I3" s="292"/>
      <c r="J3" s="32"/>
      <c r="K3" s="32"/>
      <c r="L3" s="32"/>
      <c r="M3" s="32"/>
      <c r="N3" s="32"/>
      <c r="O3" s="32"/>
      <c r="P3" s="32"/>
      <c r="Q3" s="32"/>
      <c r="R3" s="32"/>
      <c r="S3" s="32"/>
      <c r="T3" s="32"/>
      <c r="U3" s="32"/>
      <c r="V3" s="32"/>
      <c r="W3" s="32"/>
      <c r="X3" s="32"/>
      <c r="Y3" s="32"/>
      <c r="Z3" s="32"/>
      <c r="AA3" s="32"/>
      <c r="AB3" s="32"/>
      <c r="AC3" s="32"/>
      <c r="AD3" s="32"/>
      <c r="AE3" s="32"/>
      <c r="AF3" s="32"/>
      <c r="AG3" s="32"/>
      <c r="AH3" s="32"/>
      <c r="AI3" s="32"/>
      <c r="AJ3" s="32"/>
      <c r="AK3" s="32"/>
      <c r="AL3" s="32"/>
      <c r="AM3" s="32"/>
      <c r="AN3" s="32"/>
    </row>
    <row r="4" spans="1:40" ht="13.2"/>
    <row r="5" spans="1:40" ht="13.2">
      <c r="A5" s="6" t="s">
        <v>719</v>
      </c>
      <c r="C5" s="6" t="s">
        <v>229</v>
      </c>
      <c r="F5" s="6"/>
    </row>
    <row r="6" spans="1:40" ht="13.2">
      <c r="B6" s="1127"/>
      <c r="AA6" s="2"/>
    </row>
    <row r="7" spans="1:40" ht="13.65" customHeight="1">
      <c r="B7" s="9"/>
      <c r="C7" s="10"/>
      <c r="D7" s="10"/>
      <c r="E7" s="10"/>
      <c r="F7" s="10"/>
      <c r="G7" s="10"/>
      <c r="H7" s="10"/>
      <c r="I7" s="10"/>
      <c r="J7" s="10"/>
      <c r="K7" s="10"/>
      <c r="L7" s="10"/>
      <c r="M7" s="10"/>
      <c r="N7" s="10"/>
      <c r="O7" s="10"/>
      <c r="P7" s="10"/>
      <c r="Q7" s="10"/>
      <c r="R7" s="10"/>
      <c r="S7" s="10"/>
      <c r="T7" s="2245" t="s">
        <v>1815</v>
      </c>
      <c r="U7" s="2245"/>
      <c r="V7" s="2245"/>
      <c r="W7" s="2245"/>
      <c r="X7" s="2245"/>
      <c r="Y7" s="2245" t="s">
        <v>1978</v>
      </c>
      <c r="Z7" s="2245"/>
      <c r="AA7" s="2245"/>
      <c r="AB7" s="2245"/>
      <c r="AC7" s="2245"/>
      <c r="AD7" s="2245" t="s">
        <v>1514</v>
      </c>
      <c r="AE7" s="2245"/>
      <c r="AF7" s="2245"/>
      <c r="AG7" s="2245"/>
      <c r="AH7" s="2245"/>
      <c r="AI7" s="2245" t="s">
        <v>1979</v>
      </c>
      <c r="AJ7" s="2245"/>
      <c r="AK7" s="2245"/>
      <c r="AL7" s="2245"/>
      <c r="AM7" s="2245"/>
    </row>
    <row r="8" spans="1:40" ht="12.75" customHeight="1">
      <c r="B8" s="337"/>
      <c r="C8" s="1"/>
      <c r="D8" s="1"/>
      <c r="E8" s="1"/>
      <c r="F8" s="1"/>
      <c r="G8" s="1"/>
      <c r="H8" s="1"/>
      <c r="I8" s="1"/>
      <c r="J8" s="1"/>
      <c r="K8" s="1"/>
      <c r="L8" s="1"/>
      <c r="M8" s="1"/>
      <c r="N8" s="1"/>
      <c r="O8" s="1"/>
      <c r="P8" s="1"/>
      <c r="Q8" s="1"/>
      <c r="R8" s="1"/>
      <c r="S8" s="1"/>
      <c r="T8" s="2245"/>
      <c r="U8" s="2245"/>
      <c r="V8" s="2245"/>
      <c r="W8" s="2245"/>
      <c r="X8" s="2245"/>
      <c r="Y8" s="2245"/>
      <c r="Z8" s="2245"/>
      <c r="AA8" s="2245"/>
      <c r="AB8" s="2245"/>
      <c r="AC8" s="2245"/>
      <c r="AD8" s="2245"/>
      <c r="AE8" s="2245"/>
      <c r="AF8" s="2245"/>
      <c r="AG8" s="2245"/>
      <c r="AH8" s="2245"/>
      <c r="AI8" s="2245"/>
      <c r="AJ8" s="2245"/>
      <c r="AK8" s="2245"/>
      <c r="AL8" s="2245"/>
      <c r="AM8" s="2245"/>
    </row>
    <row r="9" spans="1:40" ht="13.2">
      <c r="B9" s="337"/>
      <c r="C9" s="1"/>
      <c r="D9" s="1"/>
      <c r="E9" s="1"/>
      <c r="F9" s="1"/>
      <c r="G9" s="1"/>
      <c r="H9" s="1"/>
      <c r="I9" s="1"/>
      <c r="J9" s="1"/>
      <c r="K9" s="1"/>
      <c r="L9" s="1"/>
      <c r="M9" s="1"/>
      <c r="N9" s="1"/>
      <c r="O9" s="1"/>
      <c r="P9" s="1"/>
      <c r="Q9" s="1"/>
      <c r="R9" s="1"/>
      <c r="S9" s="1"/>
      <c r="T9" s="2245"/>
      <c r="U9" s="2245"/>
      <c r="V9" s="2245"/>
      <c r="W9" s="2245"/>
      <c r="X9" s="2245"/>
      <c r="Y9" s="2245"/>
      <c r="Z9" s="2245"/>
      <c r="AA9" s="2245"/>
      <c r="AB9" s="2245"/>
      <c r="AC9" s="2245"/>
      <c r="AD9" s="2245"/>
      <c r="AE9" s="2245"/>
      <c r="AF9" s="2245"/>
      <c r="AG9" s="2245"/>
      <c r="AH9" s="2245"/>
      <c r="AI9" s="2245"/>
      <c r="AJ9" s="2245"/>
      <c r="AK9" s="2245"/>
      <c r="AL9" s="2245"/>
      <c r="AM9" s="2245"/>
    </row>
    <row r="10" spans="1:40" ht="41.4" customHeight="1">
      <c r="B10" s="277"/>
      <c r="C10" s="278"/>
      <c r="D10" s="278"/>
      <c r="E10" s="278"/>
      <c r="F10" s="278"/>
      <c r="G10" s="278"/>
      <c r="H10" s="278"/>
      <c r="I10" s="278"/>
      <c r="J10" s="278"/>
      <c r="K10" s="278"/>
      <c r="L10" s="278"/>
      <c r="M10" s="278"/>
      <c r="N10" s="278"/>
      <c r="O10" s="278"/>
      <c r="P10" s="278"/>
      <c r="Q10" s="278"/>
      <c r="R10" s="278"/>
      <c r="S10" s="278"/>
      <c r="T10" s="2245"/>
      <c r="U10" s="2245"/>
      <c r="V10" s="2245"/>
      <c r="W10" s="2245"/>
      <c r="X10" s="2245"/>
      <c r="Y10" s="2245"/>
      <c r="Z10" s="2245"/>
      <c r="AA10" s="2245"/>
      <c r="AB10" s="2245"/>
      <c r="AC10" s="2245"/>
      <c r="AD10" s="2245"/>
      <c r="AE10" s="2245"/>
      <c r="AF10" s="2245"/>
      <c r="AG10" s="2245"/>
      <c r="AH10" s="2245"/>
      <c r="AI10" s="2245"/>
      <c r="AJ10" s="2245"/>
      <c r="AK10" s="2245"/>
      <c r="AL10" s="2245"/>
      <c r="AM10" s="2245"/>
    </row>
    <row r="11" spans="1:40" ht="13.2">
      <c r="B11" s="2219" t="s">
        <v>566</v>
      </c>
      <c r="C11" s="2220"/>
      <c r="D11" s="2220"/>
      <c r="E11" s="2220"/>
      <c r="F11" s="2220"/>
      <c r="G11" s="2220"/>
      <c r="H11" s="2220"/>
      <c r="I11" s="2220"/>
      <c r="J11" s="2220"/>
      <c r="K11" s="2220"/>
      <c r="L11" s="2220"/>
      <c r="M11" s="2220"/>
      <c r="N11" s="2220"/>
      <c r="O11" s="2220"/>
      <c r="P11" s="2220"/>
      <c r="Q11" s="2220"/>
      <c r="R11" s="2220"/>
      <c r="S11" s="2221"/>
      <c r="T11" s="2256">
        <f>IF('Sources and Basis Breakdown'!F104=0,'Sources and Basis Breakdown'!E104,'Sources and Basis Breakdown'!F104)</f>
        <v>21480995</v>
      </c>
      <c r="U11" s="2246"/>
      <c r="V11" s="2246"/>
      <c r="W11" s="2246"/>
      <c r="X11" s="2246"/>
      <c r="Y11" s="2265">
        <f>IF('Sources and Basis Breakdown'!G104+'Sources and Basis Breakdown'!F104='Sources and Basis Breakdown'!E104,'Sources and Basis Breakdown'!G104,0)</f>
        <v>0</v>
      </c>
      <c r="Z11" s="2246"/>
      <c r="AA11" s="2246"/>
      <c r="AB11" s="2246"/>
      <c r="AC11" s="2246"/>
      <c r="AD11" s="2246">
        <f>IF('Sources and Basis Breakdown'!I104=0,'Sources and Basis Breakdown'!H104,'Sources and Basis Breakdown'!I104)</f>
        <v>0</v>
      </c>
      <c r="AE11" s="2246"/>
      <c r="AF11" s="2246"/>
      <c r="AG11" s="2246"/>
      <c r="AH11" s="2246"/>
      <c r="AI11" s="2246">
        <f>IF('Sources and Basis Breakdown'!I104+'Sources and Basis Breakdown'!J104='Sources and Basis Breakdown'!H104,'Sources and Basis Breakdown'!J104,0)</f>
        <v>0</v>
      </c>
      <c r="AJ11" s="2246"/>
      <c r="AK11" s="2246"/>
      <c r="AL11" s="2246"/>
      <c r="AM11" s="2246"/>
    </row>
    <row r="12" spans="1:40" ht="13.2">
      <c r="B12" s="2249" t="s">
        <v>496</v>
      </c>
      <c r="C12" s="2250"/>
      <c r="D12" s="2250"/>
      <c r="E12" s="2250"/>
      <c r="F12" s="2250"/>
      <c r="G12" s="2250"/>
      <c r="H12" s="2250"/>
      <c r="I12" s="2250"/>
      <c r="J12" s="2250"/>
      <c r="K12" s="2250"/>
      <c r="L12" s="2250"/>
      <c r="M12" s="2250"/>
      <c r="N12" s="2250"/>
      <c r="O12" s="2250"/>
      <c r="P12" s="2250"/>
      <c r="Q12" s="2250"/>
      <c r="R12" s="2250"/>
      <c r="S12" s="2251"/>
      <c r="T12" s="2259"/>
      <c r="U12" s="2260"/>
      <c r="V12" s="2260"/>
      <c r="W12" s="2260"/>
      <c r="X12" s="2261"/>
      <c r="Y12" s="2259"/>
      <c r="Z12" s="2260"/>
      <c r="AA12" s="2260"/>
      <c r="AB12" s="2260"/>
      <c r="AC12" s="2261"/>
      <c r="AD12" s="2259"/>
      <c r="AE12" s="2260"/>
      <c r="AF12" s="2260"/>
      <c r="AG12" s="2260"/>
      <c r="AH12" s="2261"/>
      <c r="AI12" s="2259"/>
      <c r="AJ12" s="2260"/>
      <c r="AK12" s="2260"/>
      <c r="AL12" s="2260"/>
      <c r="AM12" s="2261"/>
    </row>
    <row r="13" spans="1:40" ht="13.2">
      <c r="B13" s="11"/>
      <c r="C13" s="2252" t="s">
        <v>1933</v>
      </c>
      <c r="D13" s="2253"/>
      <c r="E13" s="2253"/>
      <c r="F13" s="2253"/>
      <c r="G13" s="2253"/>
      <c r="H13" s="2253"/>
      <c r="I13" s="2253"/>
      <c r="J13" s="2253"/>
      <c r="K13" s="2253"/>
      <c r="L13" s="2253"/>
      <c r="M13" s="2253"/>
      <c r="N13" s="2253"/>
      <c r="O13" s="2253"/>
      <c r="P13" s="2253"/>
      <c r="Q13" s="2253"/>
      <c r="R13" s="2253"/>
      <c r="S13" s="2254"/>
      <c r="T13" s="2257">
        <f>'Basis &amp; Credits'!T13</f>
        <v>0</v>
      </c>
      <c r="U13" s="2258"/>
      <c r="V13" s="2258"/>
      <c r="W13" s="2258"/>
      <c r="X13" s="2258"/>
      <c r="Y13" s="2257">
        <f>'Basis &amp; Credits'!Y13</f>
        <v>0</v>
      </c>
      <c r="Z13" s="2258"/>
      <c r="AA13" s="2258"/>
      <c r="AB13" s="2258"/>
      <c r="AC13" s="2258"/>
      <c r="AD13" s="2258">
        <f>'Basis &amp; Credits'!AD13</f>
        <v>0</v>
      </c>
      <c r="AE13" s="2258"/>
      <c r="AF13" s="2258"/>
      <c r="AG13" s="2258"/>
      <c r="AH13" s="2258"/>
      <c r="AI13" s="2258">
        <f>'Basis &amp; Credits'!AI13</f>
        <v>0</v>
      </c>
      <c r="AJ13" s="2258"/>
      <c r="AK13" s="2258"/>
      <c r="AL13" s="2258"/>
      <c r="AM13" s="2258"/>
    </row>
    <row r="14" spans="1:40" ht="13.2">
      <c r="B14" s="11"/>
      <c r="C14" s="2253" t="s">
        <v>841</v>
      </c>
      <c r="D14" s="2253"/>
      <c r="E14" s="2253"/>
      <c r="F14" s="2253"/>
      <c r="G14" s="2253"/>
      <c r="H14" s="2253"/>
      <c r="I14" s="2253"/>
      <c r="J14" s="2253"/>
      <c r="K14" s="2253"/>
      <c r="L14" s="2253"/>
      <c r="M14" s="2253"/>
      <c r="N14" s="2253"/>
      <c r="O14" s="2253"/>
      <c r="P14" s="2253"/>
      <c r="Q14" s="2253"/>
      <c r="R14" s="2253"/>
      <c r="S14" s="2254"/>
      <c r="T14" s="1748">
        <f>'Basis &amp; Credits'!T14</f>
        <v>0</v>
      </c>
      <c r="U14" s="1752"/>
      <c r="V14" s="1752"/>
      <c r="W14" s="1752"/>
      <c r="X14" s="1752"/>
      <c r="Y14" s="1748">
        <f>'Basis &amp; Credits'!Y14</f>
        <v>0</v>
      </c>
      <c r="Z14" s="1752"/>
      <c r="AA14" s="1752"/>
      <c r="AB14" s="1752"/>
      <c r="AC14" s="1752"/>
      <c r="AD14" s="1752">
        <f>'Basis &amp; Credits'!AD14</f>
        <v>0</v>
      </c>
      <c r="AE14" s="1752"/>
      <c r="AF14" s="1752"/>
      <c r="AG14" s="1752"/>
      <c r="AH14" s="1752"/>
      <c r="AI14" s="1752">
        <f>'Basis &amp; Credits'!AI14</f>
        <v>0</v>
      </c>
      <c r="AJ14" s="1752"/>
      <c r="AK14" s="1752"/>
      <c r="AL14" s="1752"/>
      <c r="AM14" s="1752"/>
    </row>
    <row r="15" spans="1:40" ht="13.2">
      <c r="B15" s="11"/>
      <c r="C15" s="2253" t="s">
        <v>842</v>
      </c>
      <c r="D15" s="2253"/>
      <c r="E15" s="2253"/>
      <c r="F15" s="2253"/>
      <c r="G15" s="2253"/>
      <c r="H15" s="2253"/>
      <c r="I15" s="2253"/>
      <c r="J15" s="2253"/>
      <c r="K15" s="2253"/>
      <c r="L15" s="2253"/>
      <c r="M15" s="2253"/>
      <c r="N15" s="2253"/>
      <c r="O15" s="2253"/>
      <c r="P15" s="2253"/>
      <c r="Q15" s="2253"/>
      <c r="R15" s="2253"/>
      <c r="S15" s="2254"/>
      <c r="T15" s="1748">
        <f>'Basis &amp; Credits'!T15</f>
        <v>0</v>
      </c>
      <c r="U15" s="1752"/>
      <c r="V15" s="1752"/>
      <c r="W15" s="1752"/>
      <c r="X15" s="1752"/>
      <c r="Y15" s="1748">
        <f>'Basis &amp; Credits'!Y15</f>
        <v>0</v>
      </c>
      <c r="Z15" s="1752"/>
      <c r="AA15" s="1752"/>
      <c r="AB15" s="1752"/>
      <c r="AC15" s="1752"/>
      <c r="AD15" s="1752">
        <f>'Basis &amp; Credits'!AD15</f>
        <v>0</v>
      </c>
      <c r="AE15" s="1752"/>
      <c r="AF15" s="1752"/>
      <c r="AG15" s="1752"/>
      <c r="AH15" s="1752"/>
      <c r="AI15" s="1752">
        <f>'Basis &amp; Credits'!AI15</f>
        <v>0</v>
      </c>
      <c r="AJ15" s="1752"/>
      <c r="AK15" s="1752"/>
      <c r="AL15" s="1752"/>
      <c r="AM15" s="1752"/>
    </row>
    <row r="16" spans="1:40" ht="13.2">
      <c r="B16" s="11"/>
      <c r="C16" s="2252" t="s">
        <v>1117</v>
      </c>
      <c r="D16" s="2252"/>
      <c r="E16" s="2252"/>
      <c r="F16" s="2252"/>
      <c r="G16" s="2252"/>
      <c r="H16" s="2252"/>
      <c r="I16" s="2252"/>
      <c r="J16" s="2252"/>
      <c r="K16" s="2252"/>
      <c r="L16" s="2252"/>
      <c r="M16" s="2252"/>
      <c r="N16" s="2252"/>
      <c r="O16" s="2252"/>
      <c r="P16" s="2252"/>
      <c r="Q16" s="2252"/>
      <c r="R16" s="2252"/>
      <c r="S16" s="2255"/>
      <c r="T16" s="1748">
        <f>'Basis &amp; Credits'!T16</f>
        <v>0</v>
      </c>
      <c r="U16" s="1752"/>
      <c r="V16" s="1752"/>
      <c r="W16" s="1752"/>
      <c r="X16" s="1752"/>
      <c r="Y16" s="1748">
        <f>'Basis &amp; Credits'!Y16</f>
        <v>0</v>
      </c>
      <c r="Z16" s="1752"/>
      <c r="AA16" s="1752"/>
      <c r="AB16" s="1752"/>
      <c r="AC16" s="1752"/>
      <c r="AD16" s="1752">
        <f>'Basis &amp; Credits'!AD16</f>
        <v>0</v>
      </c>
      <c r="AE16" s="1752"/>
      <c r="AF16" s="1752"/>
      <c r="AG16" s="1752"/>
      <c r="AH16" s="1752"/>
      <c r="AI16" s="1752">
        <f>'Basis &amp; Credits'!AI16</f>
        <v>0</v>
      </c>
      <c r="AJ16" s="1752"/>
      <c r="AK16" s="1752"/>
      <c r="AL16" s="1752"/>
      <c r="AM16" s="1752"/>
    </row>
    <row r="17" spans="1:39" ht="13.2">
      <c r="B17" s="11"/>
      <c r="C17" s="2253" t="s">
        <v>843</v>
      </c>
      <c r="D17" s="2253"/>
      <c r="E17" s="2253"/>
      <c r="F17" s="2253"/>
      <c r="G17" s="2253"/>
      <c r="H17" s="2253"/>
      <c r="I17" s="2253"/>
      <c r="J17" s="2253"/>
      <c r="K17" s="2253"/>
      <c r="L17" s="2253"/>
      <c r="M17" s="2253"/>
      <c r="N17" s="2253"/>
      <c r="O17" s="2253"/>
      <c r="P17" s="2253"/>
      <c r="Q17" s="2253"/>
      <c r="R17" s="2253"/>
      <c r="S17" s="2254"/>
      <c r="T17" s="1748">
        <f>'Basis &amp; Credits'!T17</f>
        <v>0</v>
      </c>
      <c r="U17" s="1752"/>
      <c r="V17" s="1752"/>
      <c r="W17" s="1752"/>
      <c r="X17" s="1752"/>
      <c r="Y17" s="1748">
        <f>'Basis &amp; Credits'!Y17</f>
        <v>0</v>
      </c>
      <c r="Z17" s="1752"/>
      <c r="AA17" s="1752"/>
      <c r="AB17" s="1752"/>
      <c r="AC17" s="1752"/>
      <c r="AD17" s="1752">
        <f>'Basis &amp; Credits'!AD17</f>
        <v>0</v>
      </c>
      <c r="AE17" s="1752"/>
      <c r="AF17" s="1752"/>
      <c r="AG17" s="1752"/>
      <c r="AH17" s="1752"/>
      <c r="AI17" s="1752">
        <f>'Basis &amp; Credits'!AI17</f>
        <v>0</v>
      </c>
      <c r="AJ17" s="1752"/>
      <c r="AK17" s="1752"/>
      <c r="AL17" s="1752"/>
      <c r="AM17" s="1752"/>
    </row>
    <row r="18" spans="1:39" ht="13.2">
      <c r="B18" s="929"/>
      <c r="C18" s="2252" t="s">
        <v>1519</v>
      </c>
      <c r="D18" s="2253"/>
      <c r="E18" s="2253"/>
      <c r="F18" s="2253"/>
      <c r="G18" s="2253"/>
      <c r="H18" s="2253"/>
      <c r="I18" s="2253"/>
      <c r="J18" s="2253"/>
      <c r="K18" s="2253"/>
      <c r="L18" s="2253"/>
      <c r="M18" s="2253"/>
      <c r="N18" s="2253"/>
      <c r="O18" s="2253"/>
      <c r="P18" s="2253"/>
      <c r="Q18" s="2253"/>
      <c r="R18" s="2253"/>
      <c r="S18" s="2254"/>
      <c r="T18" s="1746">
        <f>'Basis &amp; Credits'!T18</f>
        <v>0</v>
      </c>
      <c r="U18" s="1747"/>
      <c r="V18" s="1747"/>
      <c r="W18" s="1747"/>
      <c r="X18" s="1748"/>
      <c r="Y18" s="1748">
        <f>'Basis &amp; Credits'!Y18</f>
        <v>0</v>
      </c>
      <c r="Z18" s="1752"/>
      <c r="AA18" s="1752"/>
      <c r="AB18" s="1752"/>
      <c r="AC18" s="1752"/>
      <c r="AD18" s="1752">
        <f>'Basis &amp; Credits'!AD18</f>
        <v>0</v>
      </c>
      <c r="AE18" s="1752"/>
      <c r="AF18" s="1752"/>
      <c r="AG18" s="1752"/>
      <c r="AH18" s="1752"/>
      <c r="AI18" s="1752">
        <f>'Basis &amp; Credits'!AI18</f>
        <v>0</v>
      </c>
      <c r="AJ18" s="1752"/>
      <c r="AK18" s="1752"/>
      <c r="AL18" s="1752"/>
      <c r="AM18" s="1752"/>
    </row>
    <row r="19" spans="1:39" ht="13.2">
      <c r="B19" s="768"/>
      <c r="C19" s="1809" t="str">
        <f>'Basis &amp; Credits'!C19:S19</f>
        <v>Subtract (specify other ineligible amounts):</v>
      </c>
      <c r="D19" s="1809"/>
      <c r="E19" s="1809"/>
      <c r="F19" s="1809"/>
      <c r="G19" s="1809"/>
      <c r="H19" s="1809"/>
      <c r="I19" s="1809"/>
      <c r="J19" s="1809"/>
      <c r="K19" s="1809"/>
      <c r="L19" s="1809"/>
      <c r="M19" s="1809"/>
      <c r="N19" s="1809"/>
      <c r="O19" s="1809"/>
      <c r="P19" s="1809"/>
      <c r="Q19" s="1809"/>
      <c r="R19" s="1809"/>
      <c r="S19" s="1810"/>
      <c r="T19" s="1748">
        <f>'Basis &amp; Credits'!T19</f>
        <v>0</v>
      </c>
      <c r="U19" s="1752"/>
      <c r="V19" s="1752"/>
      <c r="W19" s="1752"/>
      <c r="X19" s="1752"/>
      <c r="Y19" s="1748">
        <f>'Basis &amp; Credits'!Y19</f>
        <v>0</v>
      </c>
      <c r="Z19" s="1752"/>
      <c r="AA19" s="1752"/>
      <c r="AB19" s="1752"/>
      <c r="AC19" s="1752"/>
      <c r="AD19" s="1752">
        <f>'Basis &amp; Credits'!AD19</f>
        <v>0</v>
      </c>
      <c r="AE19" s="1752"/>
      <c r="AF19" s="1752"/>
      <c r="AG19" s="1752"/>
      <c r="AH19" s="1752"/>
      <c r="AI19" s="1752">
        <f>'Basis &amp; Credits'!AI19</f>
        <v>0</v>
      </c>
      <c r="AJ19" s="1752"/>
      <c r="AK19" s="1752"/>
      <c r="AL19" s="1752"/>
      <c r="AM19" s="1752"/>
    </row>
    <row r="20" spans="1:39" ht="13.2">
      <c r="B20" s="2219" t="s">
        <v>844</v>
      </c>
      <c r="C20" s="2220"/>
      <c r="D20" s="2220"/>
      <c r="E20" s="2220"/>
      <c r="F20" s="2220"/>
      <c r="G20" s="2220"/>
      <c r="H20" s="2220"/>
      <c r="I20" s="2220"/>
      <c r="J20" s="2220"/>
      <c r="K20" s="2220"/>
      <c r="L20" s="2220"/>
      <c r="M20" s="2220"/>
      <c r="N20" s="2220"/>
      <c r="O20" s="2220"/>
      <c r="P20" s="2220"/>
      <c r="Q20" s="2220"/>
      <c r="R20" s="2220"/>
      <c r="S20" s="2221"/>
      <c r="T20" s="2235">
        <f>SUM(T13:X19)</f>
        <v>0</v>
      </c>
      <c r="U20" s="2239"/>
      <c r="V20" s="2239"/>
      <c r="W20" s="2239"/>
      <c r="X20" s="2239"/>
      <c r="Y20" s="2235">
        <f>SUM(Y13:AC19)</f>
        <v>0</v>
      </c>
      <c r="Z20" s="2239"/>
      <c r="AA20" s="2239"/>
      <c r="AB20" s="2239"/>
      <c r="AC20" s="2239"/>
      <c r="AD20" s="2239">
        <f>SUM(AD13:AH19)</f>
        <v>0</v>
      </c>
      <c r="AE20" s="2239"/>
      <c r="AF20" s="2239"/>
      <c r="AG20" s="2239"/>
      <c r="AH20" s="2239"/>
      <c r="AI20" s="2239">
        <f>SUM(AI13:AM19)</f>
        <v>0</v>
      </c>
      <c r="AJ20" s="2239"/>
      <c r="AK20" s="2239"/>
      <c r="AL20" s="2239"/>
      <c r="AM20" s="2239"/>
    </row>
    <row r="21" spans="1:39" ht="13.2">
      <c r="B21" s="2219" t="s">
        <v>1932</v>
      </c>
      <c r="C21" s="2220"/>
      <c r="D21" s="2220"/>
      <c r="E21" s="2220"/>
      <c r="F21" s="2220"/>
      <c r="G21" s="2220"/>
      <c r="H21" s="2220"/>
      <c r="I21" s="2220"/>
      <c r="J21" s="2220"/>
      <c r="K21" s="2220"/>
      <c r="L21" s="2220"/>
      <c r="M21" s="2220"/>
      <c r="N21" s="2220"/>
      <c r="O21" s="2220"/>
      <c r="P21" s="2220"/>
      <c r="Q21" s="2220"/>
      <c r="R21" s="2220"/>
      <c r="S21" s="2221"/>
      <c r="T21" s="1748">
        <f>'Basis &amp; Credits'!E21</f>
        <v>0</v>
      </c>
      <c r="U21" s="1752"/>
      <c r="V21" s="1752"/>
      <c r="W21" s="1752"/>
      <c r="X21" s="1752"/>
      <c r="Y21" s="1748">
        <f>'Basis &amp; Credits'!J21</f>
        <v>0</v>
      </c>
      <c r="Z21" s="1752"/>
      <c r="AA21" s="1752"/>
      <c r="AB21" s="1752"/>
      <c r="AC21" s="1752"/>
      <c r="AD21" s="1752">
        <f>'Basis &amp; Credits'!O21</f>
        <v>0</v>
      </c>
      <c r="AE21" s="1752"/>
      <c r="AF21" s="1752"/>
      <c r="AG21" s="1752"/>
      <c r="AH21" s="1752"/>
      <c r="AI21" s="1752">
        <f>'Basis &amp; Credits'!T21</f>
        <v>4909483</v>
      </c>
      <c r="AJ21" s="1752"/>
      <c r="AK21" s="1752"/>
      <c r="AL21" s="1752"/>
      <c r="AM21" s="1752"/>
    </row>
    <row r="22" spans="1:39" ht="13.2">
      <c r="B22" s="2219" t="s">
        <v>845</v>
      </c>
      <c r="C22" s="2220"/>
      <c r="D22" s="2220"/>
      <c r="E22" s="2220"/>
      <c r="F22" s="2220"/>
      <c r="G22" s="2220"/>
      <c r="H22" s="2220"/>
      <c r="I22" s="2220"/>
      <c r="J22" s="2220"/>
      <c r="K22" s="2220"/>
      <c r="L22" s="2220"/>
      <c r="M22" s="2220"/>
      <c r="N22" s="2220"/>
      <c r="O22" s="2220"/>
      <c r="P22" s="2220"/>
      <c r="Q22" s="2220"/>
      <c r="R22" s="2220"/>
      <c r="S22" s="2221"/>
      <c r="T22" s="2236">
        <f>(T20+T21)*-1</f>
        <v>0</v>
      </c>
      <c r="U22" s="2237"/>
      <c r="V22" s="2237"/>
      <c r="W22" s="2237"/>
      <c r="X22" s="2237"/>
      <c r="Y22" s="2236">
        <f>(Y20+Y21)*-1</f>
        <v>0</v>
      </c>
      <c r="Z22" s="2237"/>
      <c r="AA22" s="2237"/>
      <c r="AB22" s="2237"/>
      <c r="AC22" s="2237"/>
      <c r="AD22" s="2236">
        <f>(AD20+AD21)*-1</f>
        <v>0</v>
      </c>
      <c r="AE22" s="2237"/>
      <c r="AF22" s="2237"/>
      <c r="AG22" s="2237"/>
      <c r="AH22" s="2237"/>
      <c r="AI22" s="2236">
        <f>(AI20+AI21)*-1</f>
        <v>-4909483</v>
      </c>
      <c r="AJ22" s="2237"/>
      <c r="AK22" s="2237"/>
      <c r="AL22" s="2237"/>
      <c r="AM22" s="2237"/>
    </row>
    <row r="23" spans="1:39" ht="13.2">
      <c r="A23" s="2"/>
      <c r="B23" s="2230" t="s">
        <v>846</v>
      </c>
      <c r="C23" s="2231"/>
      <c r="D23" s="2231"/>
      <c r="E23" s="2231"/>
      <c r="F23" s="2231"/>
      <c r="G23" s="2231"/>
      <c r="H23" s="2231"/>
      <c r="I23" s="2231"/>
      <c r="J23" s="2231"/>
      <c r="K23" s="2231"/>
      <c r="L23" s="2231"/>
      <c r="M23" s="2231"/>
      <c r="N23" s="2231"/>
      <c r="O23" s="2231"/>
      <c r="P23" s="2231"/>
      <c r="Q23" s="2231"/>
      <c r="R23" s="2231"/>
      <c r="S23" s="2232"/>
      <c r="T23" s="2235">
        <f>T11+T22</f>
        <v>21480995</v>
      </c>
      <c r="U23" s="2239"/>
      <c r="V23" s="2239"/>
      <c r="W23" s="2239"/>
      <c r="X23" s="2239"/>
      <c r="Y23" s="2235">
        <f>Y11+Y22</f>
        <v>0</v>
      </c>
      <c r="Z23" s="2239"/>
      <c r="AA23" s="2239"/>
      <c r="AB23" s="2239"/>
      <c r="AC23" s="2239"/>
      <c r="AD23" s="2235">
        <f>AD11+AD22</f>
        <v>0</v>
      </c>
      <c r="AE23" s="2239"/>
      <c r="AF23" s="2239"/>
      <c r="AG23" s="2239"/>
      <c r="AH23" s="2239"/>
      <c r="AI23" s="2235">
        <f>AI11+AI22</f>
        <v>-4909483</v>
      </c>
      <c r="AJ23" s="2239"/>
      <c r="AK23" s="2239"/>
      <c r="AL23" s="2239"/>
      <c r="AM23" s="2239"/>
    </row>
    <row r="24" spans="1:39" ht="13.2">
      <c r="B24" s="2219" t="s">
        <v>1350</v>
      </c>
      <c r="C24" s="2220"/>
      <c r="D24" s="2220"/>
      <c r="E24" s="2220"/>
      <c r="F24" s="2220"/>
      <c r="G24" s="2220"/>
      <c r="H24" s="2220"/>
      <c r="I24" s="2220"/>
      <c r="J24" s="2220"/>
      <c r="K24" s="2220"/>
      <c r="L24" s="2220"/>
      <c r="M24" s="2220"/>
      <c r="N24" s="2220"/>
      <c r="O24" s="2220"/>
      <c r="P24" s="2220"/>
      <c r="Q24" s="2220"/>
      <c r="R24" s="2220"/>
      <c r="S24" s="2221"/>
      <c r="T24" s="2233">
        <f>Application!AD991</f>
        <v>0</v>
      </c>
      <c r="U24" s="2234"/>
      <c r="V24" s="2234"/>
      <c r="W24" s="2234"/>
      <c r="X24" s="2234"/>
      <c r="Y24" s="2234"/>
      <c r="Z24" s="2234"/>
      <c r="AA24" s="2234"/>
      <c r="AB24" s="2234"/>
      <c r="AC24" s="2234"/>
      <c r="AD24" s="2234"/>
      <c r="AE24" s="2234"/>
      <c r="AF24" s="2234"/>
      <c r="AG24" s="2234"/>
      <c r="AH24" s="2234"/>
      <c r="AI24" s="2234"/>
      <c r="AJ24" s="2234"/>
      <c r="AK24" s="2234"/>
      <c r="AL24" s="2234"/>
      <c r="AM24" s="2235"/>
    </row>
    <row r="25" spans="1:39" ht="13.2">
      <c r="B25" s="2222" t="s">
        <v>1977</v>
      </c>
      <c r="C25" s="2223"/>
      <c r="D25" s="2223"/>
      <c r="E25" s="2223"/>
      <c r="F25" s="2223"/>
      <c r="G25" s="2223"/>
      <c r="H25" s="2223"/>
      <c r="I25" s="2223"/>
      <c r="J25" s="2223"/>
      <c r="K25" s="2223"/>
      <c r="L25" s="2223"/>
      <c r="M25" s="2223"/>
      <c r="N25" s="2223"/>
      <c r="O25" s="2223"/>
      <c r="P25" s="2223"/>
      <c r="Q25" s="2223"/>
      <c r="R25" s="2223"/>
      <c r="S25" s="2224"/>
      <c r="T25" s="2242">
        <v>1</v>
      </c>
      <c r="U25" s="2243"/>
      <c r="V25" s="2243"/>
      <c r="W25" s="2243"/>
      <c r="X25" s="2244"/>
      <c r="Y25" s="2242">
        <v>1</v>
      </c>
      <c r="Z25" s="2243"/>
      <c r="AA25" s="2243"/>
      <c r="AB25" s="2243"/>
      <c r="AC25" s="2244"/>
      <c r="AD25" s="2242">
        <v>1</v>
      </c>
      <c r="AE25" s="2243"/>
      <c r="AF25" s="2243"/>
      <c r="AG25" s="2243"/>
      <c r="AH25" s="2244"/>
      <c r="AI25" s="2242">
        <v>1</v>
      </c>
      <c r="AJ25" s="2243"/>
      <c r="AK25" s="2243"/>
      <c r="AL25" s="2243"/>
      <c r="AM25" s="2244"/>
    </row>
    <row r="26" spans="1:39" ht="13.2">
      <c r="B26" s="2219" t="s">
        <v>847</v>
      </c>
      <c r="C26" s="2220"/>
      <c r="D26" s="2220"/>
      <c r="E26" s="2220"/>
      <c r="F26" s="2220"/>
      <c r="G26" s="2220"/>
      <c r="H26" s="2220"/>
      <c r="I26" s="2220"/>
      <c r="J26" s="2220"/>
      <c r="K26" s="2220"/>
      <c r="L26" s="2220"/>
      <c r="M26" s="2220"/>
      <c r="N26" s="2220"/>
      <c r="O26" s="2220"/>
      <c r="P26" s="2220"/>
      <c r="Q26" s="2220"/>
      <c r="R26" s="2220"/>
      <c r="S26" s="2221"/>
      <c r="T26" s="2240">
        <f>T23*T25</f>
        <v>21480995</v>
      </c>
      <c r="U26" s="2241"/>
      <c r="V26" s="2241"/>
      <c r="W26" s="2241"/>
      <c r="X26" s="2241"/>
      <c r="Y26" s="2240">
        <f>Y23*Y25</f>
        <v>0</v>
      </c>
      <c r="Z26" s="2241"/>
      <c r="AA26" s="2241"/>
      <c r="AB26" s="2241"/>
      <c r="AC26" s="2241"/>
      <c r="AD26" s="2240">
        <f>AD23*AD25</f>
        <v>0</v>
      </c>
      <c r="AE26" s="2241"/>
      <c r="AF26" s="2241"/>
      <c r="AG26" s="2241"/>
      <c r="AH26" s="2241"/>
      <c r="AI26" s="2240">
        <f>AI23*AI25</f>
        <v>-4909483</v>
      </c>
      <c r="AJ26" s="2241"/>
      <c r="AK26" s="2241"/>
      <c r="AL26" s="2241"/>
      <c r="AM26" s="2241"/>
    </row>
    <row r="27" spans="1:39" ht="13.2">
      <c r="A27" s="7"/>
      <c r="B27" s="2225" t="s">
        <v>978</v>
      </c>
      <c r="C27" s="2226"/>
      <c r="D27" s="2226"/>
      <c r="E27" s="2226"/>
      <c r="F27" s="2226"/>
      <c r="G27" s="2226"/>
      <c r="H27" s="2226"/>
      <c r="I27" s="2226"/>
      <c r="J27" s="2226"/>
      <c r="K27" s="2226"/>
      <c r="L27" s="2226"/>
      <c r="M27" s="2226"/>
      <c r="N27" s="2226"/>
      <c r="O27" s="2226"/>
      <c r="P27" s="2226"/>
      <c r="Q27" s="2226"/>
      <c r="R27" s="2226"/>
      <c r="S27" s="2227"/>
      <c r="T27" s="2228">
        <f>Application!AG438</f>
        <v>1</v>
      </c>
      <c r="U27" s="2229"/>
      <c r="V27" s="2229"/>
      <c r="W27" s="2229"/>
      <c r="X27" s="2229"/>
      <c r="Y27" s="2228">
        <f>Application!AG438</f>
        <v>1</v>
      </c>
      <c r="Z27" s="2229"/>
      <c r="AA27" s="2229"/>
      <c r="AB27" s="2229"/>
      <c r="AC27" s="2229"/>
      <c r="AD27" s="2228">
        <f>Application!AG438</f>
        <v>1</v>
      </c>
      <c r="AE27" s="2229"/>
      <c r="AF27" s="2229"/>
      <c r="AG27" s="2229"/>
      <c r="AH27" s="2229"/>
      <c r="AI27" s="2228">
        <f>Application!AG438</f>
        <v>1</v>
      </c>
      <c r="AJ27" s="2229"/>
      <c r="AK27" s="2229"/>
      <c r="AL27" s="2229"/>
      <c r="AM27" s="2229"/>
    </row>
    <row r="28" spans="1:39" ht="12.75" customHeight="1">
      <c r="A28" s="6"/>
      <c r="B28" s="2219" t="s">
        <v>925</v>
      </c>
      <c r="C28" s="2220"/>
      <c r="D28" s="2220"/>
      <c r="E28" s="2220"/>
      <c r="F28" s="2220"/>
      <c r="G28" s="2220"/>
      <c r="H28" s="2220"/>
      <c r="I28" s="2220"/>
      <c r="J28" s="2220"/>
      <c r="K28" s="2220"/>
      <c r="L28" s="2220"/>
      <c r="M28" s="2220"/>
      <c r="N28" s="2220"/>
      <c r="O28" s="2220"/>
      <c r="P28" s="2220"/>
      <c r="Q28" s="2220"/>
      <c r="R28" s="2220"/>
      <c r="S28" s="2221"/>
      <c r="T28" s="1772">
        <f>IF(ISERROR((T26*T27)),0,(T26*T27))</f>
        <v>21480995</v>
      </c>
      <c r="U28" s="2238"/>
      <c r="V28" s="2238"/>
      <c r="W28" s="2238"/>
      <c r="X28" s="2238"/>
      <c r="Y28" s="1772">
        <f>IF(ISERROR((Y26*Y27)),0,(Y26*Y27))</f>
        <v>0</v>
      </c>
      <c r="Z28" s="2238"/>
      <c r="AA28" s="2238"/>
      <c r="AB28" s="2238"/>
      <c r="AC28" s="2238"/>
      <c r="AD28" s="1772">
        <f>IF(ISERROR((AD26*AD27)),0,(AD26*AD27))</f>
        <v>0</v>
      </c>
      <c r="AE28" s="2238"/>
      <c r="AF28" s="2238"/>
      <c r="AG28" s="2238"/>
      <c r="AH28" s="2238"/>
      <c r="AI28" s="1772">
        <f>IF(ISERROR((AI26*AI27)),0,(AI26*AI27))</f>
        <v>-4909483</v>
      </c>
      <c r="AJ28" s="2238"/>
      <c r="AK28" s="2238"/>
      <c r="AL28" s="2238"/>
      <c r="AM28" s="2238"/>
    </row>
    <row r="29" spans="1:39" ht="13.2">
      <c r="B29" s="2219" t="s">
        <v>689</v>
      </c>
      <c r="C29" s="2220"/>
      <c r="D29" s="2220"/>
      <c r="E29" s="2220"/>
      <c r="F29" s="2220"/>
      <c r="G29" s="2220"/>
      <c r="H29" s="2220"/>
      <c r="I29" s="2220"/>
      <c r="J29" s="2220"/>
      <c r="K29" s="2220"/>
      <c r="L29" s="2220"/>
      <c r="M29" s="2220"/>
      <c r="N29" s="2220"/>
      <c r="O29" s="2220"/>
      <c r="P29" s="2220"/>
      <c r="Q29" s="2220"/>
      <c r="R29" s="2220"/>
      <c r="S29" s="2221"/>
      <c r="T29" s="2233">
        <f>T28+Y28+AD28+AI28</f>
        <v>16571512</v>
      </c>
      <c r="U29" s="2234"/>
      <c r="V29" s="2234"/>
      <c r="W29" s="2234"/>
      <c r="X29" s="2234"/>
      <c r="Y29" s="2234"/>
      <c r="Z29" s="2234"/>
      <c r="AA29" s="2234"/>
      <c r="AB29" s="2234"/>
      <c r="AC29" s="2234"/>
      <c r="AD29" s="2234"/>
      <c r="AE29" s="2234"/>
      <c r="AF29" s="2234"/>
      <c r="AG29" s="2234"/>
      <c r="AH29" s="2234"/>
      <c r="AI29" s="2234"/>
      <c r="AJ29" s="2234"/>
      <c r="AK29" s="2234"/>
      <c r="AL29" s="2234"/>
      <c r="AM29" s="2235"/>
    </row>
    <row r="30" spans="1:39" ht="12.75" customHeight="1">
      <c r="B30" s="2649"/>
      <c r="C30" s="2649"/>
      <c r="D30" s="2649"/>
      <c r="E30" s="2649"/>
      <c r="F30" s="2649"/>
      <c r="G30" s="2649"/>
      <c r="H30" s="2649"/>
      <c r="I30" s="2649"/>
      <c r="J30" s="2649"/>
      <c r="K30" s="2649"/>
      <c r="L30" s="2649"/>
      <c r="M30" s="2649"/>
      <c r="N30" s="2649"/>
      <c r="O30" s="2649"/>
      <c r="P30" s="2649"/>
      <c r="Q30" s="2649"/>
      <c r="R30" s="2649"/>
      <c r="S30" s="2649"/>
      <c r="T30" s="2649"/>
      <c r="U30" s="2649"/>
      <c r="V30" s="2649"/>
      <c r="W30" s="2649"/>
      <c r="X30" s="2649"/>
      <c r="Y30" s="2649"/>
      <c r="Z30" s="2649"/>
      <c r="AA30" s="2649"/>
      <c r="AB30" s="2649"/>
      <c r="AC30" s="2649"/>
      <c r="AD30" s="2649"/>
      <c r="AE30" s="2649"/>
      <c r="AF30" s="2649"/>
      <c r="AG30" s="2649"/>
      <c r="AH30" s="2649"/>
      <c r="AI30" s="2649"/>
      <c r="AJ30" s="2649"/>
      <c r="AK30" s="2649"/>
      <c r="AL30" s="2649"/>
      <c r="AM30" s="2649"/>
    </row>
    <row r="31" spans="1:39" ht="13.2">
      <c r="C31" s="545"/>
      <c r="E31" s="1"/>
      <c r="F31" s="1"/>
      <c r="G31" s="1"/>
      <c r="H31" s="1"/>
      <c r="I31" s="1"/>
      <c r="J31" s="1"/>
      <c r="K31" s="1"/>
      <c r="L31" s="1"/>
      <c r="M31" s="1"/>
      <c r="N31" s="1"/>
      <c r="O31" s="1"/>
      <c r="P31" s="1"/>
      <c r="Q31" s="1"/>
      <c r="R31" s="1"/>
      <c r="S31" s="1"/>
      <c r="T31" s="1"/>
      <c r="U31" s="1"/>
      <c r="V31" s="1"/>
      <c r="W31" s="1"/>
      <c r="X31" s="279"/>
      <c r="Y31" s="280"/>
      <c r="Z31" s="280"/>
      <c r="AA31" s="280"/>
      <c r="AB31" s="280"/>
      <c r="AC31" s="280"/>
      <c r="AD31" s="280"/>
      <c r="AE31" s="280"/>
      <c r="AF31" s="280"/>
      <c r="AG31" s="280"/>
      <c r="AH31" s="280"/>
    </row>
    <row r="32" spans="1:39" ht="13.2">
      <c r="C32" s="281"/>
      <c r="D32" s="1"/>
      <c r="E32" s="1"/>
      <c r="F32" s="1"/>
      <c r="G32" s="1"/>
      <c r="H32" s="1"/>
      <c r="I32" s="1"/>
      <c r="J32" s="1"/>
      <c r="K32" s="1"/>
      <c r="L32" s="1"/>
      <c r="M32" s="1"/>
      <c r="N32" s="1"/>
      <c r="O32" s="1"/>
      <c r="P32" s="1"/>
      <c r="Q32" s="1"/>
      <c r="R32" s="1"/>
      <c r="S32" s="1"/>
      <c r="T32" s="1"/>
      <c r="U32" s="1"/>
      <c r="V32" s="1"/>
      <c r="W32" s="1"/>
      <c r="X32" s="279"/>
      <c r="Y32" s="280"/>
      <c r="Z32" s="280"/>
      <c r="AA32" s="280"/>
      <c r="AB32" s="280"/>
      <c r="AC32" s="280"/>
      <c r="AD32" s="280"/>
      <c r="AE32" s="280"/>
      <c r="AF32" s="280"/>
      <c r="AG32" s="280"/>
      <c r="AH32" s="280"/>
    </row>
    <row r="33" spans="1:40" ht="13.2">
      <c r="A33" s="6" t="s">
        <v>8</v>
      </c>
      <c r="C33" s="6" t="s">
        <v>230</v>
      </c>
    </row>
    <row r="34" spans="1:40" ht="13.2">
      <c r="A34" s="6"/>
      <c r="C34" s="6"/>
    </row>
    <row r="35" spans="1:40" ht="13.2">
      <c r="B35" s="9"/>
      <c r="C35" s="10"/>
      <c r="D35" s="10"/>
      <c r="E35" s="10"/>
      <c r="F35" s="10"/>
      <c r="G35" s="10"/>
      <c r="H35" s="10"/>
      <c r="I35" s="10"/>
      <c r="J35" s="10"/>
      <c r="K35" s="10"/>
      <c r="L35" s="10"/>
      <c r="M35" s="10"/>
      <c r="N35" s="10"/>
      <c r="O35" s="10"/>
      <c r="P35" s="10"/>
      <c r="Q35" s="10"/>
      <c r="R35" s="10"/>
      <c r="S35" s="10"/>
      <c r="T35" s="10"/>
      <c r="U35" s="10"/>
      <c r="V35" s="10"/>
      <c r="W35" s="10"/>
      <c r="X35" s="336"/>
      <c r="Y35" s="2245" t="s">
        <v>1814</v>
      </c>
      <c r="Z35" s="2245"/>
      <c r="AA35" s="2245"/>
      <c r="AB35" s="2245"/>
      <c r="AC35" s="2245"/>
      <c r="AD35" s="2289" t="s">
        <v>46</v>
      </c>
      <c r="AE35" s="2289"/>
      <c r="AF35" s="2289"/>
      <c r="AG35" s="2289"/>
      <c r="AH35" s="2289"/>
    </row>
    <row r="36" spans="1:40" ht="12.75" customHeight="1">
      <c r="B36" s="337"/>
      <c r="C36" s="1"/>
      <c r="D36" s="1"/>
      <c r="E36" s="1"/>
      <c r="F36" s="1"/>
      <c r="G36" s="1"/>
      <c r="H36" s="1"/>
      <c r="I36" s="1"/>
      <c r="J36" s="1"/>
      <c r="K36" s="1"/>
      <c r="L36" s="1"/>
      <c r="M36" s="1"/>
      <c r="N36" s="1"/>
      <c r="O36" s="1"/>
      <c r="P36" s="1"/>
      <c r="Q36" s="1"/>
      <c r="R36" s="1"/>
      <c r="S36" s="1"/>
      <c r="T36" s="1"/>
      <c r="U36" s="1"/>
      <c r="V36" s="1"/>
      <c r="W36" s="1"/>
      <c r="X36" s="338"/>
      <c r="Y36" s="2245"/>
      <c r="Z36" s="2245"/>
      <c r="AA36" s="2245"/>
      <c r="AB36" s="2245"/>
      <c r="AC36" s="2245"/>
      <c r="AD36" s="2289"/>
      <c r="AE36" s="2289"/>
      <c r="AF36" s="2289"/>
      <c r="AG36" s="2289"/>
      <c r="AH36" s="2289"/>
    </row>
    <row r="37" spans="1:40" ht="13.2">
      <c r="B37" s="277"/>
      <c r="C37" s="278"/>
      <c r="D37" s="278"/>
      <c r="E37" s="278"/>
      <c r="F37" s="278"/>
      <c r="G37" s="278"/>
      <c r="H37" s="278"/>
      <c r="I37" s="278"/>
      <c r="J37" s="278"/>
      <c r="K37" s="278"/>
      <c r="L37" s="278"/>
      <c r="M37" s="278"/>
      <c r="N37" s="278"/>
      <c r="O37" s="278"/>
      <c r="P37" s="278"/>
      <c r="Q37" s="278"/>
      <c r="R37" s="278"/>
      <c r="S37" s="278"/>
      <c r="T37" s="278"/>
      <c r="U37" s="278"/>
      <c r="V37" s="278"/>
      <c r="W37" s="278"/>
      <c r="X37" s="339"/>
      <c r="Y37" s="2245"/>
      <c r="Z37" s="2245"/>
      <c r="AA37" s="2245"/>
      <c r="AB37" s="2245"/>
      <c r="AC37" s="2245"/>
      <c r="AD37" s="2289"/>
      <c r="AE37" s="2289"/>
      <c r="AF37" s="2289"/>
      <c r="AG37" s="2289"/>
      <c r="AH37" s="2289"/>
    </row>
    <row r="38" spans="1:40" ht="12.75" customHeight="1">
      <c r="A38" s="6"/>
      <c r="B38" s="2219" t="s">
        <v>925</v>
      </c>
      <c r="C38" s="2220"/>
      <c r="D38" s="2220"/>
      <c r="E38" s="2220"/>
      <c r="F38" s="2220"/>
      <c r="G38" s="2220"/>
      <c r="H38" s="2220"/>
      <c r="I38" s="2220"/>
      <c r="J38" s="2220"/>
      <c r="K38" s="2220"/>
      <c r="L38" s="2220"/>
      <c r="M38" s="2220"/>
      <c r="N38" s="2220"/>
      <c r="O38" s="2220"/>
      <c r="P38" s="2220"/>
      <c r="Q38" s="2220"/>
      <c r="R38" s="2220"/>
      <c r="S38" s="2220"/>
      <c r="T38" s="2220"/>
      <c r="U38" s="2220"/>
      <c r="V38" s="2220"/>
      <c r="W38" s="2220"/>
      <c r="X38" s="2221"/>
      <c r="Y38" s="2239">
        <f>IF(T24&gt;=(T23+Y23+AD23+AI23),T28+Y28,0)</f>
        <v>0</v>
      </c>
      <c r="Z38" s="2239"/>
      <c r="AA38" s="2239"/>
      <c r="AB38" s="2239"/>
      <c r="AC38" s="2239"/>
      <c r="AD38" s="2239">
        <f>IF(T24&gt;=(T23+Y23+AD23+AI23),AD28+AI28,0)</f>
        <v>0</v>
      </c>
      <c r="AE38" s="2239"/>
      <c r="AF38" s="2239"/>
      <c r="AG38" s="2239"/>
      <c r="AH38" s="2239"/>
    </row>
    <row r="39" spans="1:40" ht="13.2">
      <c r="B39" s="2219" t="s">
        <v>837</v>
      </c>
      <c r="C39" s="2220"/>
      <c r="D39" s="2220"/>
      <c r="E39" s="2220"/>
      <c r="F39" s="2220"/>
      <c r="G39" s="2220"/>
      <c r="H39" s="2220"/>
      <c r="I39" s="2220"/>
      <c r="J39" s="2220"/>
      <c r="K39" s="2220"/>
      <c r="L39" s="2220"/>
      <c r="M39" s="2220"/>
      <c r="N39" s="2220"/>
      <c r="O39" s="2220"/>
      <c r="P39" s="2220"/>
      <c r="Q39" s="2220"/>
      <c r="R39" s="2220"/>
      <c r="S39" s="2220"/>
      <c r="T39" s="2220"/>
      <c r="U39" s="2220"/>
      <c r="V39" s="2220"/>
      <c r="W39" s="2220"/>
      <c r="X39" s="2221"/>
      <c r="Y39" s="2294">
        <v>0.09</v>
      </c>
      <c r="Z39" s="2294"/>
      <c r="AA39" s="2294"/>
      <c r="AB39" s="2294"/>
      <c r="AC39" s="2294"/>
      <c r="AD39" s="2294">
        <f>'Basis &amp; Credits'!AD39:AH39</f>
        <v>0.04</v>
      </c>
      <c r="AE39" s="2294"/>
      <c r="AF39" s="2294"/>
      <c r="AG39" s="2294"/>
      <c r="AH39" s="2294"/>
    </row>
    <row r="40" spans="1:40" ht="12.75" customHeight="1">
      <c r="A40" s="6"/>
      <c r="B40" s="2219" t="s">
        <v>26</v>
      </c>
      <c r="C40" s="2220"/>
      <c r="D40" s="2220"/>
      <c r="E40" s="2220"/>
      <c r="F40" s="2220"/>
      <c r="G40" s="2220"/>
      <c r="H40" s="2220"/>
      <c r="I40" s="2220"/>
      <c r="J40" s="2220"/>
      <c r="K40" s="2220"/>
      <c r="L40" s="2220"/>
      <c r="M40" s="2220"/>
      <c r="N40" s="2220"/>
      <c r="O40" s="2220"/>
      <c r="P40" s="2220"/>
      <c r="Q40" s="2220"/>
      <c r="R40" s="2220"/>
      <c r="S40" s="2220"/>
      <c r="T40" s="2220"/>
      <c r="U40" s="2220"/>
      <c r="V40" s="2220"/>
      <c r="W40" s="2220"/>
      <c r="X40" s="2221"/>
      <c r="Y40" s="2239">
        <f>ROUND(Y38*Y39,0)</f>
        <v>0</v>
      </c>
      <c r="Z40" s="2239"/>
      <c r="AA40" s="2239"/>
      <c r="AB40" s="2239"/>
      <c r="AC40" s="2239"/>
      <c r="AD40" s="2235">
        <f>ROUND(AD38*AD39,0)</f>
        <v>0</v>
      </c>
      <c r="AE40" s="2239"/>
      <c r="AF40" s="2239"/>
      <c r="AG40" s="2239"/>
      <c r="AH40" s="2239"/>
    </row>
    <row r="41" spans="1:40" ht="13.2">
      <c r="B41" s="2219" t="s">
        <v>683</v>
      </c>
      <c r="C41" s="2220"/>
      <c r="D41" s="2220"/>
      <c r="E41" s="2220"/>
      <c r="F41" s="2220"/>
      <c r="G41" s="2220"/>
      <c r="H41" s="2220"/>
      <c r="I41" s="2220"/>
      <c r="J41" s="2220"/>
      <c r="K41" s="2220"/>
      <c r="L41" s="2220"/>
      <c r="M41" s="2220"/>
      <c r="N41" s="2220"/>
      <c r="O41" s="2220"/>
      <c r="P41" s="2220"/>
      <c r="Q41" s="2220"/>
      <c r="R41" s="2220"/>
      <c r="S41" s="2220"/>
      <c r="T41" s="2220"/>
      <c r="U41" s="2220"/>
      <c r="V41" s="2220"/>
      <c r="W41" s="2220"/>
      <c r="X41" s="2221"/>
      <c r="Y41" s="2295">
        <f>IF((Y40+AD40)&gt;2500000,2500000,Y40+AD40)</f>
        <v>0</v>
      </c>
      <c r="Z41" s="2296"/>
      <c r="AA41" s="2296"/>
      <c r="AB41" s="2296"/>
      <c r="AC41" s="2296"/>
      <c r="AD41" s="2296"/>
      <c r="AE41" s="2296"/>
      <c r="AF41" s="2296"/>
      <c r="AG41" s="2296"/>
      <c r="AH41" s="2297"/>
    </row>
    <row r="42" spans="1:40" ht="12.75" customHeight="1">
      <c r="A42" s="6"/>
      <c r="B42" s="2279" t="s">
        <v>1289</v>
      </c>
      <c r="C42" s="2279"/>
      <c r="D42" s="2279"/>
      <c r="E42" s="2279"/>
      <c r="F42" s="2279"/>
      <c r="G42" s="2279"/>
      <c r="H42" s="2279"/>
      <c r="I42" s="2279"/>
      <c r="J42" s="2279"/>
      <c r="K42" s="2279"/>
      <c r="L42" s="2279"/>
      <c r="M42" s="2279"/>
      <c r="N42" s="2279"/>
      <c r="O42" s="2279"/>
      <c r="P42" s="2279"/>
      <c r="Q42" s="2279"/>
      <c r="R42" s="2279"/>
      <c r="S42" s="2279"/>
      <c r="T42" s="2279"/>
      <c r="U42" s="2279"/>
      <c r="V42" s="2279"/>
      <c r="W42" s="2279"/>
      <c r="X42" s="2279"/>
      <c r="Y42" s="2279"/>
      <c r="Z42" s="2279"/>
      <c r="AA42" s="2279"/>
      <c r="AB42" s="2279"/>
      <c r="AC42" s="2279"/>
      <c r="AD42" s="2279"/>
      <c r="AE42" s="2279"/>
      <c r="AF42" s="2279"/>
      <c r="AG42" s="2279"/>
      <c r="AH42" s="2279"/>
      <c r="AI42" s="949"/>
      <c r="AJ42" s="949"/>
      <c r="AK42" s="949"/>
      <c r="AL42" s="949"/>
      <c r="AM42" s="949"/>
      <c r="AN42" s="949"/>
    </row>
    <row r="43" spans="1:40" ht="13.2">
      <c r="B43" s="933"/>
      <c r="C43" s="933"/>
      <c r="D43" s="933"/>
      <c r="E43" s="933"/>
      <c r="F43" s="933"/>
      <c r="G43" s="933"/>
      <c r="H43" s="933"/>
      <c r="I43" s="933"/>
      <c r="J43" s="933"/>
      <c r="K43" s="933"/>
      <c r="L43" s="933"/>
      <c r="M43" s="933"/>
      <c r="N43" s="933"/>
      <c r="O43" s="933"/>
      <c r="P43" s="933"/>
      <c r="Q43" s="933"/>
      <c r="R43" s="933"/>
      <c r="S43" s="933"/>
      <c r="T43" s="933"/>
      <c r="U43" s="933"/>
      <c r="V43" s="933"/>
      <c r="W43" s="933"/>
      <c r="X43" s="933"/>
      <c r="Y43" s="933"/>
      <c r="Z43" s="933"/>
      <c r="AA43" s="933"/>
      <c r="AB43" s="933"/>
      <c r="AC43" s="933"/>
      <c r="AD43" s="933"/>
      <c r="AE43" s="933"/>
      <c r="AF43" s="933"/>
      <c r="AG43" s="933"/>
      <c r="AH43" s="933"/>
    </row>
    <row r="44" spans="1:40" ht="13.2">
      <c r="A44" s="6"/>
      <c r="B44" s="933"/>
      <c r="C44" s="933"/>
      <c r="D44" s="933"/>
      <c r="E44" s="933"/>
      <c r="F44" s="933"/>
      <c r="G44" s="933"/>
      <c r="H44" s="933"/>
      <c r="I44" s="933"/>
      <c r="J44" s="933"/>
      <c r="K44" s="933"/>
      <c r="L44" s="933"/>
      <c r="M44" s="933"/>
      <c r="N44" s="933"/>
      <c r="O44" s="933"/>
      <c r="P44" s="933"/>
      <c r="Q44" s="933"/>
      <c r="R44" s="933"/>
      <c r="S44" s="933"/>
      <c r="T44" s="933"/>
      <c r="U44" s="933"/>
      <c r="V44" s="933"/>
      <c r="W44" s="933"/>
      <c r="X44" s="933"/>
      <c r="Y44" s="933"/>
      <c r="Z44" s="933"/>
      <c r="AA44" s="933"/>
      <c r="AB44" s="933"/>
      <c r="AC44" s="933"/>
      <c r="AD44" s="933"/>
      <c r="AE44" s="933"/>
      <c r="AF44" s="933"/>
      <c r="AG44" s="933"/>
      <c r="AH44" s="933"/>
    </row>
    <row r="45" spans="1:40" ht="13.2">
      <c r="A45" s="6" t="s">
        <v>131</v>
      </c>
      <c r="C45" s="6" t="s">
        <v>281</v>
      </c>
    </row>
    <row r="46" spans="1:40" ht="13.2">
      <c r="D46" s="6" t="s">
        <v>282</v>
      </c>
      <c r="AB46" s="2283">
        <f>'Sources and Uses Budget'!B104-'Sources and Uses Budget'!$B$15</f>
        <v>24107565</v>
      </c>
      <c r="AC46" s="2284"/>
      <c r="AD46" s="2284"/>
      <c r="AE46" s="2284"/>
      <c r="AF46" s="2285"/>
    </row>
    <row r="47" spans="1:40" ht="12.75" customHeight="1">
      <c r="D47" s="6" t="s">
        <v>919</v>
      </c>
      <c r="AB47" s="2283">
        <f>Application!AG642-MIN('Sources and Uses Budget'!B15,Application!AG385)</f>
        <v>0</v>
      </c>
      <c r="AC47" s="2284"/>
      <c r="AD47" s="2284"/>
      <c r="AE47" s="2284"/>
      <c r="AF47" s="2285"/>
    </row>
    <row r="48" spans="1:40" ht="13.2">
      <c r="D48" s="6" t="s">
        <v>422</v>
      </c>
      <c r="AB48" s="2283">
        <f>AB46-AB47</f>
        <v>24107565</v>
      </c>
      <c r="AC48" s="2284"/>
      <c r="AD48" s="2284"/>
      <c r="AE48" s="2284"/>
      <c r="AF48" s="2285"/>
    </row>
    <row r="49" spans="1:40" ht="13.2">
      <c r="D49" s="6" t="s">
        <v>958</v>
      </c>
      <c r="X49" s="2"/>
      <c r="Y49" s="2"/>
      <c r="Z49" s="2"/>
      <c r="AA49" s="409"/>
      <c r="AB49" s="2273"/>
      <c r="AC49" s="2274"/>
      <c r="AD49" s="2274"/>
      <c r="AE49" s="2274"/>
      <c r="AF49" s="2275"/>
    </row>
    <row r="50" spans="1:40" s="515" customFormat="1" ht="15" customHeight="1">
      <c r="A50" s="2"/>
      <c r="B50" s="2"/>
      <c r="C50" s="2"/>
      <c r="D50" s="272"/>
      <c r="E50" s="2286" t="s">
        <v>1507</v>
      </c>
      <c r="F50" s="2286"/>
      <c r="G50" s="2286"/>
      <c r="H50" s="2286"/>
      <c r="I50" s="2286"/>
      <c r="J50" s="2286"/>
      <c r="K50" s="2286"/>
      <c r="L50" s="2286"/>
      <c r="M50" s="2286"/>
      <c r="N50" s="2286"/>
      <c r="O50" s="2286"/>
      <c r="P50" s="2286"/>
      <c r="Q50" s="2286"/>
      <c r="R50" s="2286"/>
      <c r="S50" s="2286"/>
      <c r="T50" s="2286"/>
      <c r="U50" s="2286"/>
      <c r="V50" s="2286"/>
      <c r="W50" s="2286"/>
      <c r="X50" s="2286"/>
      <c r="Y50" s="2286"/>
      <c r="Z50" s="2286"/>
      <c r="AA50" s="778"/>
      <c r="AB50" s="778"/>
      <c r="AC50" s="778"/>
      <c r="AD50" s="778"/>
      <c r="AE50" s="778"/>
      <c r="AF50" s="778"/>
      <c r="AG50" s="2"/>
      <c r="AH50" s="2"/>
      <c r="AI50" s="2"/>
      <c r="AJ50" s="2"/>
      <c r="AK50" s="2"/>
      <c r="AL50" s="2"/>
      <c r="AM50" s="2"/>
      <c r="AN50" s="2"/>
    </row>
    <row r="51" spans="1:40" s="515" customFormat="1" ht="12" customHeight="1">
      <c r="A51" s="2"/>
      <c r="B51" s="2"/>
      <c r="C51" s="2"/>
      <c r="D51" s="272"/>
      <c r="E51" s="2286"/>
      <c r="F51" s="2286"/>
      <c r="G51" s="2286"/>
      <c r="H51" s="2286"/>
      <c r="I51" s="2286"/>
      <c r="J51" s="2286"/>
      <c r="K51" s="2286"/>
      <c r="L51" s="2286"/>
      <c r="M51" s="2286"/>
      <c r="N51" s="2286"/>
      <c r="O51" s="2286"/>
      <c r="P51" s="2286"/>
      <c r="Q51" s="2286"/>
      <c r="R51" s="2286"/>
      <c r="S51" s="2286"/>
      <c r="T51" s="2286"/>
      <c r="U51" s="2286"/>
      <c r="V51" s="2286"/>
      <c r="W51" s="2286"/>
      <c r="X51" s="2286"/>
      <c r="Y51" s="2286"/>
      <c r="Z51" s="2286"/>
      <c r="AA51" s="779"/>
      <c r="AB51" s="779"/>
      <c r="AC51" s="779"/>
      <c r="AD51" s="779"/>
      <c r="AE51" s="779"/>
      <c r="AF51" s="779"/>
      <c r="AG51" s="516"/>
      <c r="AH51" s="2"/>
      <c r="AI51" s="2"/>
      <c r="AJ51" s="2"/>
      <c r="AK51" s="2"/>
      <c r="AL51" s="2"/>
      <c r="AM51" s="2"/>
      <c r="AN51" s="2"/>
    </row>
    <row r="52" spans="1:40" ht="12" customHeight="1">
      <c r="A52" s="2"/>
      <c r="B52" s="2"/>
      <c r="C52" s="2"/>
      <c r="D52" s="272"/>
      <c r="E52" s="510"/>
      <c r="F52" s="510"/>
      <c r="G52" s="510"/>
      <c r="H52" s="510"/>
      <c r="I52" s="510"/>
      <c r="J52" s="510"/>
      <c r="K52" s="510"/>
      <c r="L52" s="510"/>
      <c r="M52" s="510"/>
      <c r="N52" s="510"/>
      <c r="O52" s="510"/>
      <c r="P52" s="510"/>
      <c r="Q52" s="510"/>
      <c r="R52" s="510"/>
      <c r="S52" s="510"/>
      <c r="T52" s="510"/>
      <c r="U52" s="510"/>
      <c r="V52" s="510"/>
      <c r="W52" s="510"/>
      <c r="X52" s="510"/>
      <c r="Y52" s="510"/>
      <c r="Z52" s="510"/>
      <c r="AA52" s="2"/>
      <c r="AB52" s="2"/>
      <c r="AC52" s="2"/>
      <c r="AD52" s="2"/>
      <c r="AE52" s="2"/>
      <c r="AF52" s="2"/>
      <c r="AG52" s="2"/>
      <c r="AH52" s="2"/>
      <c r="AI52" s="2"/>
      <c r="AJ52" s="2"/>
      <c r="AK52" s="2"/>
      <c r="AL52" s="2"/>
      <c r="AM52" s="2"/>
      <c r="AN52" s="2"/>
    </row>
    <row r="53" spans="1:40" ht="15" customHeight="1">
      <c r="D53" s="6" t="s">
        <v>27</v>
      </c>
      <c r="AB53" s="2283">
        <f>ROUND(IF(ISERROR((AB48/AB49)),0,(AB48/AB49)),0)</f>
        <v>0</v>
      </c>
      <c r="AC53" s="2284"/>
      <c r="AD53" s="2284"/>
      <c r="AE53" s="2284"/>
      <c r="AF53" s="2285"/>
    </row>
    <row r="54" spans="1:40" ht="12.75" customHeight="1">
      <c r="D54" s="6" t="s">
        <v>621</v>
      </c>
      <c r="AB54" s="2283">
        <f>(AB53/10)</f>
        <v>0</v>
      </c>
      <c r="AC54" s="2284"/>
      <c r="AD54" s="2284"/>
      <c r="AE54" s="2284"/>
      <c r="AF54" s="2285"/>
    </row>
    <row r="55" spans="1:40" ht="13.2">
      <c r="D55" s="6" t="s">
        <v>379</v>
      </c>
      <c r="AB55" s="2280">
        <f>(IF((Y41&lt;AB54),Y41,AB54))</f>
        <v>0</v>
      </c>
      <c r="AC55" s="2281"/>
      <c r="AD55" s="2281"/>
      <c r="AE55" s="2281"/>
      <c r="AF55" s="2282"/>
    </row>
    <row r="56" spans="1:40" ht="13.2">
      <c r="D56" s="6" t="s">
        <v>118</v>
      </c>
      <c r="AB56" s="2283">
        <f>ROUND((10*AB55*AB49),0)</f>
        <v>0</v>
      </c>
      <c r="AC56" s="2284"/>
      <c r="AD56" s="2284"/>
      <c r="AE56" s="2284"/>
      <c r="AF56" s="2285"/>
    </row>
    <row r="57" spans="1:40" ht="12.75" customHeight="1">
      <c r="D57" s="6"/>
      <c r="E57" s="1"/>
      <c r="F57" s="1"/>
      <c r="G57" s="1"/>
      <c r="H57" s="1"/>
      <c r="I57" s="1"/>
      <c r="J57" s="1"/>
      <c r="K57" s="1"/>
      <c r="L57" s="1"/>
      <c r="M57" s="1"/>
      <c r="N57" s="1"/>
      <c r="O57" s="1"/>
      <c r="P57" s="1"/>
      <c r="Q57" s="1"/>
      <c r="R57" s="1"/>
      <c r="S57" s="1"/>
      <c r="T57" s="1"/>
      <c r="U57" s="1"/>
      <c r="V57" s="1"/>
      <c r="W57" s="1"/>
      <c r="X57" s="1"/>
      <c r="Y57" s="1"/>
      <c r="Z57" s="1"/>
      <c r="AA57" s="1"/>
      <c r="AB57" s="425"/>
      <c r="AC57" s="425"/>
      <c r="AD57" s="425"/>
      <c r="AE57" s="425"/>
      <c r="AF57" s="425"/>
      <c r="AG57" s="1"/>
      <c r="AH57" s="1"/>
      <c r="AI57" s="1"/>
      <c r="AJ57" s="1"/>
      <c r="AK57" s="1"/>
      <c r="AL57" s="1"/>
      <c r="AM57" s="1"/>
      <c r="AN57" s="1"/>
    </row>
    <row r="58" spans="1:40" ht="12.75" customHeight="1">
      <c r="D58" s="6" t="s">
        <v>117</v>
      </c>
      <c r="AB58" s="2266">
        <f>AB48-AB56</f>
        <v>24107565</v>
      </c>
      <c r="AC58" s="2266"/>
      <c r="AD58" s="2266"/>
      <c r="AE58" s="2266"/>
      <c r="AF58" s="2266"/>
    </row>
    <row r="59" spans="1:40" ht="12.75" customHeight="1">
      <c r="D59" s="6"/>
      <c r="F59" s="23" t="str">
        <f>IF(AB58&gt;0,"FUNDING GAP MUST NOT EXCEED ZERO UNLESS REQUESTING STATE CREDITS","")</f>
        <v>FUNDING GAP MUST NOT EXCEED ZERO UNLESS REQUESTING STATE CREDITS</v>
      </c>
      <c r="G59" s="23"/>
      <c r="N59" s="23"/>
      <c r="AB59" s="425"/>
      <c r="AC59" s="425"/>
      <c r="AD59" s="425"/>
      <c r="AE59" s="425"/>
      <c r="AF59" s="425"/>
    </row>
    <row r="60" spans="1:40" ht="12.75" customHeight="1" thickBot="1">
      <c r="A60" s="2290" t="s">
        <v>1980</v>
      </c>
      <c r="B60" s="2290"/>
      <c r="C60" s="2290"/>
      <c r="D60" s="2290"/>
      <c r="E60" s="2290"/>
      <c r="F60" s="2290"/>
      <c r="G60" s="2290"/>
      <c r="H60" s="2290"/>
      <c r="I60" s="2290"/>
      <c r="J60" s="2290"/>
      <c r="K60" s="2290"/>
      <c r="L60" s="2290"/>
      <c r="M60" s="2290"/>
      <c r="N60" s="2290"/>
      <c r="O60" s="2290"/>
      <c r="P60" s="2290"/>
      <c r="Q60" s="2290"/>
      <c r="R60" s="2290"/>
      <c r="S60" s="2290"/>
      <c r="T60" s="2290"/>
      <c r="U60" s="2290"/>
      <c r="V60" s="2290"/>
      <c r="W60" s="2290"/>
      <c r="X60" s="2290"/>
      <c r="Y60" s="2290"/>
      <c r="Z60" s="2290"/>
      <c r="AA60" s="2290"/>
      <c r="AB60" s="2290"/>
      <c r="AC60" s="2290"/>
      <c r="AD60" s="2290"/>
      <c r="AE60" s="2290"/>
      <c r="AF60" s="2290"/>
      <c r="AG60" s="2290"/>
      <c r="AH60" s="2290"/>
      <c r="AI60" s="2290"/>
      <c r="AJ60" s="2290"/>
      <c r="AK60" s="2290"/>
      <c r="AL60" s="2290"/>
      <c r="AM60" s="2290"/>
      <c r="AN60" s="2290"/>
    </row>
    <row r="61" spans="1:40" ht="13.65" customHeight="1" thickTop="1">
      <c r="A61" s="2292"/>
      <c r="B61" s="2292"/>
      <c r="C61" s="2292"/>
      <c r="D61" s="2292"/>
      <c r="E61" s="2292"/>
      <c r="F61" s="2292"/>
      <c r="G61" s="2292"/>
      <c r="H61" s="2292"/>
      <c r="I61" s="2292"/>
      <c r="J61" s="2292"/>
      <c r="K61" s="2292"/>
      <c r="L61" s="2292"/>
      <c r="M61" s="2292"/>
      <c r="N61" s="2292"/>
      <c r="O61" s="2292"/>
      <c r="P61" s="2292"/>
      <c r="Q61" s="2292"/>
      <c r="R61" s="2292"/>
      <c r="S61" s="2292"/>
      <c r="T61" s="2292"/>
      <c r="U61" s="2292"/>
      <c r="V61" s="2292"/>
      <c r="W61" s="2292"/>
      <c r="X61" s="2292"/>
      <c r="Y61" s="2292"/>
      <c r="Z61" s="2292"/>
      <c r="AA61" s="2292"/>
      <c r="AB61" s="2292"/>
      <c r="AC61" s="2292"/>
      <c r="AD61" s="2292"/>
      <c r="AE61" s="2292"/>
      <c r="AF61" s="2292"/>
      <c r="AG61" s="2292"/>
      <c r="AH61" s="2292"/>
      <c r="AI61" s="2292"/>
      <c r="AJ61" s="2292"/>
      <c r="AK61" s="2292"/>
      <c r="AL61" s="2292"/>
      <c r="AM61" s="2292"/>
      <c r="AN61" s="2292"/>
    </row>
    <row r="62" spans="1:40" ht="13.2">
      <c r="A62" s="358" t="s">
        <v>134</v>
      </c>
      <c r="B62" s="1"/>
      <c r="C62" s="358" t="s">
        <v>567</v>
      </c>
      <c r="D62" s="1"/>
      <c r="E62" s="1"/>
      <c r="F62" s="1"/>
      <c r="G62" s="1"/>
      <c r="H62" s="1"/>
      <c r="I62" s="1"/>
      <c r="J62" s="1"/>
      <c r="K62" s="1"/>
      <c r="L62" s="1"/>
      <c r="M62" s="1"/>
      <c r="N62" s="1"/>
      <c r="O62" s="1"/>
      <c r="P62" s="1"/>
      <c r="Q62" s="1"/>
      <c r="R62" s="1"/>
      <c r="S62" s="1"/>
      <c r="T62" s="1"/>
      <c r="U62" s="1"/>
      <c r="V62" s="1"/>
      <c r="W62" s="1"/>
      <c r="X62" s="1"/>
      <c r="Y62" s="2293" t="s">
        <v>331</v>
      </c>
      <c r="Z62" s="2293"/>
      <c r="AA62" s="2293"/>
      <c r="AB62" s="2293"/>
      <c r="AC62" s="2293"/>
      <c r="AD62" s="2293" t="s">
        <v>46</v>
      </c>
      <c r="AE62" s="2293"/>
      <c r="AF62" s="2293"/>
      <c r="AG62" s="2293"/>
      <c r="AH62" s="2293"/>
      <c r="AI62" s="1"/>
      <c r="AJ62" s="1"/>
      <c r="AK62" s="1"/>
      <c r="AL62" s="1"/>
      <c r="AM62" s="1"/>
      <c r="AN62" s="1"/>
    </row>
    <row r="63" spans="1:40" ht="13.2">
      <c r="C63" s="330"/>
      <c r="D63" s="1266" t="s">
        <v>1376</v>
      </c>
      <c r="E63" s="802"/>
      <c r="F63" s="802"/>
      <c r="G63" s="802"/>
      <c r="H63" s="802"/>
      <c r="I63" s="802"/>
      <c r="J63" s="802"/>
      <c r="K63" s="802"/>
      <c r="L63" s="22"/>
      <c r="M63" s="22"/>
      <c r="N63" s="22"/>
      <c r="O63" s="22"/>
      <c r="P63" s="22"/>
      <c r="Q63" s="22"/>
      <c r="R63" s="22"/>
      <c r="S63" s="22"/>
      <c r="T63" s="22"/>
      <c r="U63" s="22"/>
      <c r="V63" s="22"/>
      <c r="W63" s="22"/>
      <c r="X63" s="22"/>
      <c r="Y63" s="1993">
        <f>Y28</f>
        <v>0</v>
      </c>
      <c r="Z63" s="2276"/>
      <c r="AA63" s="2276"/>
      <c r="AB63" s="2276"/>
      <c r="AC63" s="2276"/>
      <c r="AD63" s="1993">
        <f>AI28</f>
        <v>-4909483</v>
      </c>
      <c r="AE63" s="2276"/>
      <c r="AF63" s="2276"/>
      <c r="AG63" s="2276"/>
      <c r="AH63" s="2276"/>
    </row>
    <row r="64" spans="1:40" ht="15" customHeight="1">
      <c r="C64" s="6"/>
      <c r="E64" s="2291" t="s">
        <v>1427</v>
      </c>
      <c r="F64" s="2291"/>
      <c r="G64" s="2291"/>
      <c r="H64" s="2291"/>
      <c r="I64" s="2291"/>
      <c r="J64" s="2291"/>
      <c r="K64" s="2291"/>
      <c r="L64" s="2291"/>
      <c r="M64" s="2291"/>
      <c r="N64" s="2291"/>
      <c r="O64" s="2291"/>
      <c r="P64" s="2291"/>
      <c r="Q64" s="2291"/>
      <c r="R64" s="2291"/>
      <c r="S64" s="2291"/>
      <c r="T64" s="2291"/>
      <c r="U64" s="2291"/>
      <c r="V64" s="2291"/>
      <c r="W64" s="2291"/>
      <c r="X64" s="2291"/>
      <c r="Y64" s="2291"/>
      <c r="Z64" s="2291"/>
      <c r="AA64" s="2291"/>
      <c r="AB64" s="2291"/>
      <c r="AC64" s="2291"/>
      <c r="AD64" s="2291"/>
      <c r="AE64" s="2291"/>
      <c r="AF64" s="2291"/>
      <c r="AG64" s="2291"/>
      <c r="AH64" s="2291"/>
    </row>
    <row r="65" spans="1:40" ht="24.6" customHeight="1">
      <c r="C65" s="6"/>
      <c r="E65" s="2291"/>
      <c r="F65" s="2291"/>
      <c r="G65" s="2291"/>
      <c r="H65" s="2291"/>
      <c r="I65" s="2291"/>
      <c r="J65" s="2291"/>
      <c r="K65" s="2291"/>
      <c r="L65" s="2291"/>
      <c r="M65" s="2291"/>
      <c r="N65" s="2291"/>
      <c r="O65" s="2291"/>
      <c r="P65" s="2291"/>
      <c r="Q65" s="2291"/>
      <c r="R65" s="2291"/>
      <c r="S65" s="2291"/>
      <c r="T65" s="2291"/>
      <c r="U65" s="2291"/>
      <c r="V65" s="2291"/>
      <c r="W65" s="2291"/>
      <c r="X65" s="2291"/>
      <c r="Y65" s="2291"/>
      <c r="Z65" s="2291"/>
      <c r="AA65" s="2291"/>
      <c r="AB65" s="2291"/>
      <c r="AC65" s="2291"/>
      <c r="AD65" s="2291"/>
      <c r="AE65" s="2291"/>
      <c r="AF65" s="2291"/>
      <c r="AG65" s="2291"/>
      <c r="AH65" s="2291"/>
    </row>
    <row r="66" spans="1:40" ht="13.2">
      <c r="C66" s="6"/>
      <c r="D66" s="6" t="s">
        <v>219</v>
      </c>
      <c r="E66" s="1269"/>
      <c r="F66" s="1269"/>
      <c r="G66" s="1269"/>
      <c r="H66" s="1269"/>
      <c r="I66" s="1269"/>
      <c r="J66" s="1269"/>
      <c r="K66" s="1269"/>
      <c r="L66" s="1269"/>
      <c r="M66" s="1269"/>
      <c r="N66" s="1269"/>
      <c r="O66" s="1269"/>
      <c r="P66" s="1269"/>
      <c r="Q66" s="1269"/>
      <c r="R66" s="1269"/>
      <c r="S66" s="1269"/>
      <c r="T66" s="1269"/>
      <c r="U66" s="1269"/>
      <c r="V66" s="1269"/>
      <c r="W66" s="1269"/>
      <c r="X66" s="1269"/>
      <c r="Y66" s="2272">
        <v>0.3</v>
      </c>
      <c r="Z66" s="2272"/>
      <c r="AA66" s="2272"/>
      <c r="AB66" s="2272"/>
      <c r="AC66" s="2272"/>
      <c r="AD66" s="2272">
        <v>0.13</v>
      </c>
      <c r="AE66" s="2272"/>
      <c r="AF66" s="2272"/>
      <c r="AG66" s="2272"/>
      <c r="AH66" s="2272"/>
    </row>
    <row r="67" spans="1:40" ht="13.2">
      <c r="C67" s="6"/>
      <c r="D67" s="6" t="s">
        <v>1045</v>
      </c>
      <c r="Y67" s="1993">
        <f>ROUND(Y63*Y66,0)</f>
        <v>0</v>
      </c>
      <c r="Z67" s="2276"/>
      <c r="AA67" s="2276"/>
      <c r="AB67" s="2276"/>
      <c r="AC67" s="2276"/>
      <c r="AD67" s="1993" t="str">
        <f>IF(OR(Application!D211="At-Risk",Application!D211="At-Risk/Located in Rural Census Tract",Application!D214="At-Risk"),ROUND(AD63*AD66,0),"$0")</f>
        <v>$0</v>
      </c>
      <c r="AE67" s="2277"/>
      <c r="AF67" s="2277"/>
      <c r="AG67" s="2277"/>
      <c r="AH67" s="2277"/>
    </row>
    <row r="68" spans="1:40" ht="13.2">
      <c r="C68" s="6"/>
      <c r="E68" s="6"/>
      <c r="AB68" s="5"/>
      <c r="AC68" s="5"/>
      <c r="AD68" s="5"/>
      <c r="AE68" s="5"/>
      <c r="AF68" s="5"/>
    </row>
    <row r="69" spans="1:40" ht="13.2">
      <c r="A69" s="6" t="s">
        <v>135</v>
      </c>
      <c r="C69" s="6" t="s">
        <v>283</v>
      </c>
    </row>
    <row r="70" spans="1:40" ht="13.2">
      <c r="A70" s="330"/>
      <c r="B70" s="2"/>
      <c r="C70" s="330"/>
      <c r="D70" s="330" t="s">
        <v>959</v>
      </c>
      <c r="E70" s="2"/>
      <c r="F70" s="2"/>
      <c r="G70" s="2"/>
      <c r="H70" s="2"/>
      <c r="I70" s="2"/>
      <c r="J70" s="2"/>
      <c r="K70" s="2"/>
      <c r="L70" s="2"/>
      <c r="M70" s="2"/>
      <c r="N70" s="2"/>
      <c r="O70" s="2"/>
      <c r="P70" s="2"/>
      <c r="Q70" s="2"/>
      <c r="R70" s="2"/>
      <c r="S70" s="2"/>
      <c r="T70" s="2"/>
      <c r="U70" s="2"/>
      <c r="V70" s="2"/>
      <c r="W70" s="2"/>
      <c r="X70" s="2"/>
      <c r="Y70" s="2"/>
      <c r="Z70" s="2"/>
      <c r="AA70" s="2"/>
      <c r="AB70" s="2273"/>
      <c r="AC70" s="2274"/>
      <c r="AD70" s="2274"/>
      <c r="AE70" s="2274"/>
      <c r="AF70" s="2275"/>
      <c r="AG70" s="2"/>
      <c r="AH70" s="2"/>
      <c r="AI70" s="2"/>
      <c r="AJ70" s="2"/>
      <c r="AK70" s="2"/>
      <c r="AL70" s="2"/>
      <c r="AM70" s="2"/>
      <c r="AN70" s="2"/>
    </row>
    <row r="71" spans="1:40" ht="12.75" customHeight="1">
      <c r="A71" s="330"/>
      <c r="B71" s="2"/>
      <c r="C71" s="330"/>
      <c r="D71" s="330"/>
      <c r="E71" s="2278" t="s">
        <v>1975</v>
      </c>
      <c r="F71" s="2278"/>
      <c r="G71" s="2278"/>
      <c r="H71" s="2278"/>
      <c r="I71" s="2278"/>
      <c r="J71" s="2278"/>
      <c r="K71" s="2278"/>
      <c r="L71" s="2278"/>
      <c r="M71" s="2278"/>
      <c r="N71" s="2278"/>
      <c r="O71" s="2278"/>
      <c r="P71" s="2278"/>
      <c r="Q71" s="2278"/>
      <c r="R71" s="2278"/>
      <c r="S71" s="2278"/>
      <c r="T71" s="2278"/>
      <c r="U71" s="2278"/>
      <c r="V71" s="2278"/>
      <c r="W71" s="2278"/>
      <c r="X71" s="2278"/>
      <c r="Y71" s="2278"/>
      <c r="Z71" s="2278"/>
      <c r="AA71" s="803"/>
      <c r="AB71" s="803"/>
      <c r="AC71" s="803"/>
      <c r="AG71" s="2"/>
      <c r="AH71" s="2"/>
      <c r="AI71" s="2"/>
      <c r="AJ71" s="2"/>
      <c r="AK71" s="2"/>
      <c r="AL71" s="2"/>
      <c r="AM71" s="2"/>
      <c r="AN71" s="2"/>
    </row>
    <row r="72" spans="1:40" ht="12.75" customHeight="1">
      <c r="A72" s="330"/>
      <c r="B72" s="2"/>
      <c r="C72" s="330"/>
      <c r="D72" s="330"/>
      <c r="E72" s="2278"/>
      <c r="F72" s="2278"/>
      <c r="G72" s="2278"/>
      <c r="H72" s="2278"/>
      <c r="I72" s="2278"/>
      <c r="J72" s="2278"/>
      <c r="K72" s="2278"/>
      <c r="L72" s="2278"/>
      <c r="M72" s="2278"/>
      <c r="N72" s="2278"/>
      <c r="O72" s="2278"/>
      <c r="P72" s="2278"/>
      <c r="Q72" s="2278"/>
      <c r="R72" s="2278"/>
      <c r="S72" s="2278"/>
      <c r="T72" s="2278"/>
      <c r="U72" s="2278"/>
      <c r="V72" s="2278"/>
      <c r="W72" s="2278"/>
      <c r="X72" s="2278"/>
      <c r="Y72" s="2278"/>
      <c r="Z72" s="2278"/>
      <c r="AA72" s="803"/>
      <c r="AB72" s="803"/>
      <c r="AC72" s="803"/>
      <c r="AG72" s="2"/>
      <c r="AH72" s="2"/>
      <c r="AI72" s="2"/>
      <c r="AJ72" s="2"/>
      <c r="AK72" s="2"/>
      <c r="AL72" s="2"/>
      <c r="AM72" s="2"/>
      <c r="AN72" s="2"/>
    </row>
    <row r="73" spans="1:40" ht="12" customHeight="1">
      <c r="A73" s="330"/>
      <c r="B73" s="2"/>
      <c r="C73" s="330"/>
      <c r="D73" s="330"/>
      <c r="E73" s="2278"/>
      <c r="F73" s="2278"/>
      <c r="G73" s="2278"/>
      <c r="H73" s="2278"/>
      <c r="I73" s="2278"/>
      <c r="J73" s="2278"/>
      <c r="K73" s="2278"/>
      <c r="L73" s="2278"/>
      <c r="M73" s="2278"/>
      <c r="N73" s="2278"/>
      <c r="O73" s="2278"/>
      <c r="P73" s="2278"/>
      <c r="Q73" s="2278"/>
      <c r="R73" s="2278"/>
      <c r="S73" s="2278"/>
      <c r="T73" s="2278"/>
      <c r="U73" s="2278"/>
      <c r="V73" s="2278"/>
      <c r="W73" s="2278"/>
      <c r="X73" s="2278"/>
      <c r="Y73" s="2278"/>
      <c r="Z73" s="2278"/>
      <c r="AA73" s="803"/>
      <c r="AB73" s="803"/>
      <c r="AC73" s="803"/>
      <c r="AD73" s="426"/>
      <c r="AE73" s="426"/>
      <c r="AF73" s="426"/>
      <c r="AG73" s="2"/>
      <c r="AH73" s="2"/>
      <c r="AI73" s="2"/>
      <c r="AJ73" s="2"/>
      <c r="AK73" s="2"/>
      <c r="AL73" s="2"/>
      <c r="AM73" s="2"/>
      <c r="AN73" s="2"/>
    </row>
    <row r="74" spans="1:40" ht="12" customHeight="1">
      <c r="A74" s="330"/>
      <c r="B74" s="2"/>
      <c r="C74" s="330"/>
      <c r="D74" s="330"/>
      <c r="E74" s="517"/>
      <c r="F74" s="517"/>
      <c r="G74" s="517"/>
      <c r="H74" s="517"/>
      <c r="I74" s="517"/>
      <c r="J74" s="517"/>
      <c r="K74" s="517"/>
      <c r="L74" s="517"/>
      <c r="M74" s="517"/>
      <c r="N74" s="517"/>
      <c r="O74" s="517"/>
      <c r="P74" s="517"/>
      <c r="Q74" s="517"/>
      <c r="R74" s="517"/>
      <c r="S74" s="517"/>
      <c r="T74" s="517"/>
      <c r="U74" s="517"/>
      <c r="V74" s="517"/>
      <c r="W74" s="517"/>
      <c r="X74" s="517"/>
      <c r="Y74" s="517"/>
      <c r="Z74" s="517"/>
      <c r="AA74" s="1267"/>
      <c r="AG74" s="2"/>
      <c r="AH74" s="2"/>
      <c r="AI74" s="2"/>
      <c r="AJ74" s="2"/>
      <c r="AK74" s="2"/>
      <c r="AL74" s="2"/>
      <c r="AM74" s="2"/>
      <c r="AN74" s="2"/>
    </row>
    <row r="75" spans="1:40" ht="12" customHeight="1">
      <c r="C75" s="6"/>
      <c r="D75" s="6" t="s">
        <v>115</v>
      </c>
      <c r="AB75" s="2271">
        <f>ROUND(IF(ISERROR((AB58/AB70)),0,(AB58/AB70)),0)</f>
        <v>0</v>
      </c>
      <c r="AC75" s="2271"/>
      <c r="AD75" s="2271"/>
      <c r="AE75" s="2271"/>
      <c r="AF75" s="2271"/>
    </row>
    <row r="76" spans="1:40" ht="12.75" customHeight="1">
      <c r="C76" s="6"/>
      <c r="D76" s="6" t="s">
        <v>116</v>
      </c>
      <c r="AB76" s="2268">
        <f>IF((Y67+AD67&lt;AB75),Y67+AD67,AB75)</f>
        <v>0</v>
      </c>
      <c r="AC76" s="2269"/>
      <c r="AD76" s="2269"/>
      <c r="AE76" s="2269"/>
      <c r="AF76" s="2270"/>
    </row>
    <row r="77" spans="1:40" ht="12.75" customHeight="1">
      <c r="C77" s="6"/>
      <c r="D77" s="6" t="s">
        <v>1046</v>
      </c>
      <c r="AB77" s="2267">
        <f>AB76*AB70</f>
        <v>0</v>
      </c>
      <c r="AC77" s="2267"/>
      <c r="AD77" s="2267"/>
      <c r="AE77" s="2267"/>
      <c r="AF77" s="2267"/>
    </row>
    <row r="78" spans="1:40" ht="12.75" customHeight="1">
      <c r="C78" s="6"/>
      <c r="D78" s="6"/>
      <c r="AB78" s="934"/>
      <c r="AC78" s="934"/>
      <c r="AD78" s="934"/>
      <c r="AE78" s="934"/>
      <c r="AF78" s="934"/>
    </row>
    <row r="79" spans="1:40" ht="12.75" customHeight="1">
      <c r="A79" s="1"/>
      <c r="B79" s="1"/>
      <c r="C79" s="1"/>
      <c r="D79" s="6" t="s">
        <v>117</v>
      </c>
      <c r="AB79" s="2266">
        <f>AB48-(AB56+AB77)</f>
        <v>24107565</v>
      </c>
      <c r="AC79" s="2266"/>
      <c r="AD79" s="2266"/>
      <c r="AE79" s="2266"/>
      <c r="AF79" s="2266"/>
      <c r="AG79" s="1"/>
      <c r="AH79" s="1"/>
      <c r="AI79" s="1"/>
      <c r="AJ79" s="1"/>
      <c r="AK79" s="1"/>
      <c r="AL79" s="1"/>
      <c r="AM79" s="1"/>
      <c r="AN79" s="1"/>
    </row>
    <row r="80" spans="1:40" ht="12.75" customHeight="1">
      <c r="A80" s="1"/>
      <c r="B80" s="1"/>
      <c r="C80" s="1"/>
      <c r="D80" s="1"/>
      <c r="F80" s="23"/>
      <c r="J80" s="23" t="str">
        <f>IF(AB79&gt;0,"FUNDING GAP MUST NOT EXCEED ZERO","")</f>
        <v>FUNDING GAP MUST NOT EXCEED ZERO</v>
      </c>
      <c r="AB80" s="1"/>
      <c r="AC80" s="1"/>
      <c r="AD80" s="1"/>
      <c r="AE80" s="1"/>
      <c r="AF80" s="1"/>
      <c r="AG80" s="1"/>
      <c r="AH80" s="1"/>
      <c r="AI80" s="1"/>
      <c r="AJ80" s="1"/>
      <c r="AK80" s="1"/>
      <c r="AL80" s="1"/>
      <c r="AM80" s="1"/>
      <c r="AN80" s="1"/>
    </row>
    <row r="81" spans="1:40" ht="12.75" customHeight="1">
      <c r="A81" s="1"/>
      <c r="B81" s="1"/>
      <c r="C81" s="1"/>
      <c r="D81" s="431"/>
      <c r="AB81" s="1"/>
      <c r="AC81" s="1"/>
      <c r="AD81" s="1"/>
      <c r="AE81" s="1"/>
      <c r="AF81" s="1"/>
      <c r="AG81" s="1"/>
      <c r="AH81" s="1"/>
      <c r="AI81" s="1"/>
      <c r="AJ81" s="1"/>
      <c r="AK81" s="1"/>
      <c r="AL81" s="1"/>
      <c r="AM81" s="1"/>
      <c r="AN81" s="1"/>
    </row>
  </sheetData>
  <sheetProtection algorithmName="SHA-512" hashValue="TsZeGWvaHLd+j2m2MOdxikJLcK62SmK4HXrjE5s5u0KLsRez0VSrWT+ilSfggvtng17nzFlKlaeZfa9pTRorlQ==" saltValue="k6jlXfLFfw02pdA5r4mtI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79:AF79 AB58:AF59">
    <cfRule type="cellIs" dxfId="1" priority="1" stopIfTrue="1" operator="greaterThan">
      <formula>0</formula>
    </cfRule>
  </conditionalFormatting>
  <dataValidations count="3">
    <dataValidation type="whole" operator="greaterThanOrEqual" allowBlank="1" showInputMessage="1" showErrorMessage="1" sqref="T13:AM19 T21:AM21">
      <formula1>0</formula1>
    </dataValidation>
    <dataValidation type="decimal" allowBlank="1" showInputMessage="1" showErrorMessage="1" errorTitle="Federal Tax Credit Factor" error="Federal Tax Credit Factor must be within stated range." sqref="AB49:AF49">
      <formula1>0.85</formula1>
      <formula2>1.25</formula2>
    </dataValidation>
    <dataValidation type="decimal" allowBlank="1" showInputMessage="1" showErrorMessage="1" errorTitle="State Tax Credit Factor" error="State Tax Credit Factor must be within stated range." sqref="AB70:AF7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81"/>
  <sheetViews>
    <sheetView showGridLines="0" showZeros="0" showWhiteSpace="0" view="pageBreakPreview" zoomScaleSheetLayoutView="100" workbookViewId="0">
      <selection activeCell="T13" sqref="T13:X13"/>
    </sheetView>
  </sheetViews>
  <sheetFormatPr defaultColWidth="0" defaultRowHeight="0" customHeight="1" zeroHeight="1"/>
  <cols>
    <col min="1" max="1" width="1.44140625" style="1268" customWidth="1"/>
    <col min="2" max="2" width="0.88671875" style="1268" customWidth="1"/>
    <col min="3" max="18" width="2.44140625" style="1268" customWidth="1"/>
    <col min="19" max="19" width="4" style="1268" customWidth="1"/>
    <col min="20" max="39" width="2.44140625" style="1268" customWidth="1"/>
    <col min="40" max="40" width="1.44140625" style="1268" customWidth="1"/>
    <col min="41" max="16384" width="2.44140625" style="2" hidden="1"/>
  </cols>
  <sheetData>
    <row r="1" spans="1:40" ht="12.75" customHeight="1">
      <c r="A1" s="2262" t="s">
        <v>1508</v>
      </c>
      <c r="B1" s="2263"/>
      <c r="C1" s="2263"/>
      <c r="D1" s="2263"/>
      <c r="E1" s="2263"/>
      <c r="F1" s="2263"/>
      <c r="G1" s="2263"/>
      <c r="H1" s="2263"/>
      <c r="I1" s="2263"/>
      <c r="J1" s="2263"/>
      <c r="K1" s="2263"/>
      <c r="L1" s="2263"/>
      <c r="M1" s="2263"/>
      <c r="N1" s="2263"/>
      <c r="O1" s="2263"/>
      <c r="P1" s="2263"/>
      <c r="Q1" s="2263"/>
      <c r="R1" s="2263"/>
      <c r="S1" s="2263"/>
      <c r="T1" s="2263"/>
      <c r="U1" s="2263"/>
      <c r="V1" s="2263"/>
      <c r="W1" s="2263"/>
      <c r="X1" s="2263"/>
      <c r="Y1" s="2263"/>
      <c r="Z1" s="2263"/>
      <c r="AA1" s="2263"/>
      <c r="AB1" s="2263"/>
      <c r="AC1" s="2263"/>
      <c r="AD1" s="2263"/>
      <c r="AE1" s="2263"/>
      <c r="AF1" s="2263"/>
      <c r="AG1" s="2263"/>
      <c r="AH1" s="2263"/>
      <c r="AI1" s="2263"/>
      <c r="AJ1" s="2263"/>
      <c r="AK1" s="2263"/>
      <c r="AL1" s="2263"/>
      <c r="AM1" s="2263"/>
      <c r="AN1" s="2263"/>
    </row>
    <row r="2" spans="1:40" ht="13.8" thickBot="1">
      <c r="A2" s="2264"/>
      <c r="B2" s="2264"/>
      <c r="C2" s="2264"/>
      <c r="D2" s="2264"/>
      <c r="E2" s="2264"/>
      <c r="F2" s="2264"/>
      <c r="G2" s="2264"/>
      <c r="H2" s="2264"/>
      <c r="I2" s="2264"/>
      <c r="J2" s="2264"/>
      <c r="K2" s="2264"/>
      <c r="L2" s="2264"/>
      <c r="M2" s="2264"/>
      <c r="N2" s="2264"/>
      <c r="O2" s="2264"/>
      <c r="P2" s="2264"/>
      <c r="Q2" s="2264"/>
      <c r="R2" s="2264"/>
      <c r="S2" s="2264"/>
      <c r="T2" s="2264"/>
      <c r="U2" s="2264"/>
      <c r="V2" s="2264"/>
      <c r="W2" s="2264"/>
      <c r="X2" s="2264"/>
      <c r="Y2" s="2264"/>
      <c r="Z2" s="2264"/>
      <c r="AA2" s="2264"/>
      <c r="AB2" s="2264"/>
      <c r="AC2" s="2264"/>
      <c r="AD2" s="2264"/>
      <c r="AE2" s="2264"/>
      <c r="AF2" s="2264"/>
      <c r="AG2" s="2264"/>
      <c r="AH2" s="2264"/>
      <c r="AI2" s="2264"/>
      <c r="AJ2" s="2264"/>
      <c r="AK2" s="2264"/>
      <c r="AL2" s="2264"/>
      <c r="AM2" s="2264"/>
      <c r="AN2" s="2264"/>
    </row>
    <row r="3" spans="1:40" ht="13.8" thickTop="1">
      <c r="A3" s="6"/>
      <c r="B3" s="35"/>
      <c r="C3" s="292"/>
      <c r="D3" s="292"/>
      <c r="E3" s="292"/>
      <c r="F3" s="292"/>
      <c r="G3" s="292"/>
      <c r="H3" s="292"/>
      <c r="I3" s="292"/>
      <c r="J3" s="32"/>
      <c r="K3" s="32"/>
      <c r="L3" s="32"/>
      <c r="M3" s="32"/>
      <c r="N3" s="32"/>
      <c r="O3" s="32"/>
      <c r="P3" s="32"/>
      <c r="Q3" s="32"/>
      <c r="R3" s="32"/>
      <c r="S3" s="32"/>
      <c r="T3" s="32"/>
      <c r="U3" s="32"/>
      <c r="V3" s="32"/>
      <c r="W3" s="32"/>
      <c r="X3" s="32"/>
      <c r="Y3" s="32"/>
      <c r="Z3" s="32"/>
      <c r="AA3" s="32"/>
      <c r="AB3" s="32"/>
      <c r="AC3" s="32"/>
      <c r="AD3" s="32"/>
      <c r="AE3" s="32"/>
      <c r="AF3" s="32"/>
      <c r="AG3" s="32"/>
      <c r="AH3" s="32"/>
      <c r="AI3" s="32"/>
      <c r="AJ3" s="32"/>
      <c r="AK3" s="32"/>
      <c r="AL3" s="32"/>
      <c r="AM3" s="32"/>
      <c r="AN3" s="32"/>
    </row>
    <row r="4" spans="1:40" ht="13.2"/>
    <row r="5" spans="1:40" ht="13.2">
      <c r="A5" s="6" t="s">
        <v>719</v>
      </c>
      <c r="C5" s="6" t="s">
        <v>229</v>
      </c>
      <c r="F5" s="6"/>
    </row>
    <row r="6" spans="1:40" ht="13.2">
      <c r="B6" s="1127"/>
      <c r="AA6" s="2"/>
    </row>
    <row r="7" spans="1:40" ht="13.65" customHeight="1">
      <c r="B7" s="9"/>
      <c r="C7" s="10"/>
      <c r="D7" s="10"/>
      <c r="E7" s="10"/>
      <c r="F7" s="10"/>
      <c r="G7" s="10"/>
      <c r="H7" s="10"/>
      <c r="I7" s="10"/>
      <c r="J7" s="10"/>
      <c r="K7" s="10"/>
      <c r="L7" s="10"/>
      <c r="M7" s="10"/>
      <c r="N7" s="10"/>
      <c r="O7" s="10"/>
      <c r="P7" s="10"/>
      <c r="Q7" s="10"/>
      <c r="R7" s="10"/>
      <c r="S7" s="10"/>
      <c r="T7" s="2245" t="s">
        <v>1815</v>
      </c>
      <c r="U7" s="2245"/>
      <c r="V7" s="2245"/>
      <c r="W7" s="2245"/>
      <c r="X7" s="2245"/>
      <c r="Y7" s="2245" t="s">
        <v>1978</v>
      </c>
      <c r="Z7" s="2245"/>
      <c r="AA7" s="2245"/>
      <c r="AB7" s="2245"/>
      <c r="AC7" s="2245"/>
      <c r="AD7" s="2245" t="s">
        <v>1514</v>
      </c>
      <c r="AE7" s="2245"/>
      <c r="AF7" s="2245"/>
      <c r="AG7" s="2245"/>
      <c r="AH7" s="2245"/>
      <c r="AI7" s="2245" t="s">
        <v>1979</v>
      </c>
      <c r="AJ7" s="2245"/>
      <c r="AK7" s="2245"/>
      <c r="AL7" s="2245"/>
      <c r="AM7" s="2245"/>
    </row>
    <row r="8" spans="1:40" ht="12.75" customHeight="1">
      <c r="B8" s="337"/>
      <c r="C8" s="1"/>
      <c r="D8" s="1"/>
      <c r="E8" s="1"/>
      <c r="F8" s="1"/>
      <c r="G8" s="1"/>
      <c r="H8" s="1"/>
      <c r="I8" s="1"/>
      <c r="J8" s="1"/>
      <c r="K8" s="1"/>
      <c r="L8" s="1"/>
      <c r="M8" s="1"/>
      <c r="N8" s="1"/>
      <c r="O8" s="1"/>
      <c r="P8" s="1"/>
      <c r="Q8" s="1"/>
      <c r="R8" s="1"/>
      <c r="S8" s="1"/>
      <c r="T8" s="2245"/>
      <c r="U8" s="2245"/>
      <c r="V8" s="2245"/>
      <c r="W8" s="2245"/>
      <c r="X8" s="2245"/>
      <c r="Y8" s="2245"/>
      <c r="Z8" s="2245"/>
      <c r="AA8" s="2245"/>
      <c r="AB8" s="2245"/>
      <c r="AC8" s="2245"/>
      <c r="AD8" s="2245"/>
      <c r="AE8" s="2245"/>
      <c r="AF8" s="2245"/>
      <c r="AG8" s="2245"/>
      <c r="AH8" s="2245"/>
      <c r="AI8" s="2245"/>
      <c r="AJ8" s="2245"/>
      <c r="AK8" s="2245"/>
      <c r="AL8" s="2245"/>
      <c r="AM8" s="2245"/>
    </row>
    <row r="9" spans="1:40" ht="13.2">
      <c r="B9" s="337"/>
      <c r="C9" s="1"/>
      <c r="D9" s="1"/>
      <c r="E9" s="1"/>
      <c r="F9" s="1"/>
      <c r="G9" s="1"/>
      <c r="H9" s="1"/>
      <c r="I9" s="1"/>
      <c r="J9" s="1"/>
      <c r="K9" s="1"/>
      <c r="L9" s="1"/>
      <c r="M9" s="1"/>
      <c r="N9" s="1"/>
      <c r="O9" s="1"/>
      <c r="P9" s="1"/>
      <c r="Q9" s="1"/>
      <c r="R9" s="1"/>
      <c r="S9" s="1"/>
      <c r="T9" s="2245"/>
      <c r="U9" s="2245"/>
      <c r="V9" s="2245"/>
      <c r="W9" s="2245"/>
      <c r="X9" s="2245"/>
      <c r="Y9" s="2245"/>
      <c r="Z9" s="2245"/>
      <c r="AA9" s="2245"/>
      <c r="AB9" s="2245"/>
      <c r="AC9" s="2245"/>
      <c r="AD9" s="2245"/>
      <c r="AE9" s="2245"/>
      <c r="AF9" s="2245"/>
      <c r="AG9" s="2245"/>
      <c r="AH9" s="2245"/>
      <c r="AI9" s="2245"/>
      <c r="AJ9" s="2245"/>
      <c r="AK9" s="2245"/>
      <c r="AL9" s="2245"/>
      <c r="AM9" s="2245"/>
    </row>
    <row r="10" spans="1:40" ht="41.4" customHeight="1">
      <c r="B10" s="277"/>
      <c r="C10" s="278"/>
      <c r="D10" s="278"/>
      <c r="E10" s="278"/>
      <c r="F10" s="278"/>
      <c r="G10" s="278"/>
      <c r="H10" s="278"/>
      <c r="I10" s="278"/>
      <c r="J10" s="278"/>
      <c r="K10" s="278"/>
      <c r="L10" s="278"/>
      <c r="M10" s="278"/>
      <c r="N10" s="278"/>
      <c r="O10" s="278"/>
      <c r="P10" s="278"/>
      <c r="Q10" s="278"/>
      <c r="R10" s="278"/>
      <c r="S10" s="278"/>
      <c r="T10" s="2245"/>
      <c r="U10" s="2245"/>
      <c r="V10" s="2245"/>
      <c r="W10" s="2245"/>
      <c r="X10" s="2245"/>
      <c r="Y10" s="2245"/>
      <c r="Z10" s="2245"/>
      <c r="AA10" s="2245"/>
      <c r="AB10" s="2245"/>
      <c r="AC10" s="2245"/>
      <c r="AD10" s="2245"/>
      <c r="AE10" s="2245"/>
      <c r="AF10" s="2245"/>
      <c r="AG10" s="2245"/>
      <c r="AH10" s="2245"/>
      <c r="AI10" s="2245"/>
      <c r="AJ10" s="2245"/>
      <c r="AK10" s="2245"/>
      <c r="AL10" s="2245"/>
      <c r="AM10" s="2245"/>
    </row>
    <row r="11" spans="1:40" ht="13.2">
      <c r="B11" s="2219" t="s">
        <v>566</v>
      </c>
      <c r="C11" s="2220"/>
      <c r="D11" s="2220"/>
      <c r="E11" s="2220"/>
      <c r="F11" s="2220"/>
      <c r="G11" s="2220"/>
      <c r="H11" s="2220"/>
      <c r="I11" s="2220"/>
      <c r="J11" s="2220"/>
      <c r="K11" s="2220"/>
      <c r="L11" s="2220"/>
      <c r="M11" s="2220"/>
      <c r="N11" s="2220"/>
      <c r="O11" s="2220"/>
      <c r="P11" s="2220"/>
      <c r="Q11" s="2220"/>
      <c r="R11" s="2220"/>
      <c r="S11" s="2221"/>
      <c r="T11" s="2256">
        <f>IF('Sources and Basis Breakdown'!F104=0,'Sources and Basis Breakdown'!E104,'Sources and Basis Breakdown'!F104)</f>
        <v>21480995</v>
      </c>
      <c r="U11" s="2246"/>
      <c r="V11" s="2246"/>
      <c r="W11" s="2246"/>
      <c r="X11" s="2246"/>
      <c r="Y11" s="2265">
        <f>IF('Sources and Basis Breakdown'!G104+'Sources and Basis Breakdown'!F104='Sources and Basis Breakdown'!E104,'Sources and Basis Breakdown'!G104,0)</f>
        <v>0</v>
      </c>
      <c r="Z11" s="2246"/>
      <c r="AA11" s="2246"/>
      <c r="AB11" s="2246"/>
      <c r="AC11" s="2246"/>
      <c r="AD11" s="2246">
        <f>IF('Sources and Basis Breakdown'!I104=0,'Sources and Basis Breakdown'!H104,'Sources and Basis Breakdown'!I104)</f>
        <v>0</v>
      </c>
      <c r="AE11" s="2246"/>
      <c r="AF11" s="2246"/>
      <c r="AG11" s="2246"/>
      <c r="AH11" s="2246"/>
      <c r="AI11" s="2246">
        <f>IF('Sources and Basis Breakdown'!I104+'Sources and Basis Breakdown'!J104='Sources and Basis Breakdown'!H104,'Sources and Basis Breakdown'!J104,0)</f>
        <v>0</v>
      </c>
      <c r="AJ11" s="2246"/>
      <c r="AK11" s="2246"/>
      <c r="AL11" s="2246"/>
      <c r="AM11" s="2246"/>
    </row>
    <row r="12" spans="1:40" ht="13.2">
      <c r="B12" s="2249" t="s">
        <v>496</v>
      </c>
      <c r="C12" s="2250"/>
      <c r="D12" s="2250"/>
      <c r="E12" s="2250"/>
      <c r="F12" s="2250"/>
      <c r="G12" s="2250"/>
      <c r="H12" s="2250"/>
      <c r="I12" s="2250"/>
      <c r="J12" s="2250"/>
      <c r="K12" s="2250"/>
      <c r="L12" s="2250"/>
      <c r="M12" s="2250"/>
      <c r="N12" s="2250"/>
      <c r="O12" s="2250"/>
      <c r="P12" s="2250"/>
      <c r="Q12" s="2250"/>
      <c r="R12" s="2250"/>
      <c r="S12" s="2251"/>
      <c r="T12" s="2259"/>
      <c r="U12" s="2260"/>
      <c r="V12" s="2260"/>
      <c r="W12" s="2260"/>
      <c r="X12" s="2261"/>
      <c r="Y12" s="2259"/>
      <c r="Z12" s="2260"/>
      <c r="AA12" s="2260"/>
      <c r="AB12" s="2260"/>
      <c r="AC12" s="2261"/>
      <c r="AD12" s="2259"/>
      <c r="AE12" s="2260"/>
      <c r="AF12" s="2260"/>
      <c r="AG12" s="2260"/>
      <c r="AH12" s="2261"/>
      <c r="AI12" s="2259"/>
      <c r="AJ12" s="2260"/>
      <c r="AK12" s="2260"/>
      <c r="AL12" s="2260"/>
      <c r="AM12" s="2261"/>
    </row>
    <row r="13" spans="1:40" ht="13.2">
      <c r="B13" s="11"/>
      <c r="C13" s="2252" t="s">
        <v>1933</v>
      </c>
      <c r="D13" s="2253"/>
      <c r="E13" s="2253"/>
      <c r="F13" s="2253"/>
      <c r="G13" s="2253"/>
      <c r="H13" s="2253"/>
      <c r="I13" s="2253"/>
      <c r="J13" s="2253"/>
      <c r="K13" s="2253"/>
      <c r="L13" s="2253"/>
      <c r="M13" s="2253"/>
      <c r="N13" s="2253"/>
      <c r="O13" s="2253"/>
      <c r="P13" s="2253"/>
      <c r="Q13" s="2253"/>
      <c r="R13" s="2253"/>
      <c r="S13" s="2254"/>
      <c r="T13" s="2257">
        <f>'Basis &amp; Credits'!T13</f>
        <v>0</v>
      </c>
      <c r="U13" s="2258"/>
      <c r="V13" s="2258"/>
      <c r="W13" s="2258"/>
      <c r="X13" s="2258"/>
      <c r="Y13" s="2257">
        <f>'Basis &amp; Credits'!Y13</f>
        <v>0</v>
      </c>
      <c r="Z13" s="2258"/>
      <c r="AA13" s="2258"/>
      <c r="AB13" s="2258"/>
      <c r="AC13" s="2258"/>
      <c r="AD13" s="2258">
        <f>'Basis &amp; Credits'!AD13</f>
        <v>0</v>
      </c>
      <c r="AE13" s="2258"/>
      <c r="AF13" s="2258"/>
      <c r="AG13" s="2258"/>
      <c r="AH13" s="2258"/>
      <c r="AI13" s="2258">
        <f>'Basis &amp; Credits'!AI13</f>
        <v>0</v>
      </c>
      <c r="AJ13" s="2258"/>
      <c r="AK13" s="2258"/>
      <c r="AL13" s="2258"/>
      <c r="AM13" s="2258"/>
    </row>
    <row r="14" spans="1:40" ht="13.2">
      <c r="B14" s="11"/>
      <c r="C14" s="2253" t="s">
        <v>841</v>
      </c>
      <c r="D14" s="2253"/>
      <c r="E14" s="2253"/>
      <c r="F14" s="2253"/>
      <c r="G14" s="2253"/>
      <c r="H14" s="2253"/>
      <c r="I14" s="2253"/>
      <c r="J14" s="2253"/>
      <c r="K14" s="2253"/>
      <c r="L14" s="2253"/>
      <c r="M14" s="2253"/>
      <c r="N14" s="2253"/>
      <c r="O14" s="2253"/>
      <c r="P14" s="2253"/>
      <c r="Q14" s="2253"/>
      <c r="R14" s="2253"/>
      <c r="S14" s="2254"/>
      <c r="T14" s="1748">
        <f>'Basis &amp; Credits'!T14</f>
        <v>0</v>
      </c>
      <c r="U14" s="1752"/>
      <c r="V14" s="1752"/>
      <c r="W14" s="1752"/>
      <c r="X14" s="1752"/>
      <c r="Y14" s="1748">
        <f>'Basis &amp; Credits'!Y14</f>
        <v>0</v>
      </c>
      <c r="Z14" s="1752"/>
      <c r="AA14" s="1752"/>
      <c r="AB14" s="1752"/>
      <c r="AC14" s="1752"/>
      <c r="AD14" s="1752">
        <f>'Basis &amp; Credits'!AD14</f>
        <v>0</v>
      </c>
      <c r="AE14" s="1752"/>
      <c r="AF14" s="1752"/>
      <c r="AG14" s="1752"/>
      <c r="AH14" s="1752"/>
      <c r="AI14" s="1752">
        <f>'Basis &amp; Credits'!AI14</f>
        <v>0</v>
      </c>
      <c r="AJ14" s="1752"/>
      <c r="AK14" s="1752"/>
      <c r="AL14" s="1752"/>
      <c r="AM14" s="1752"/>
    </row>
    <row r="15" spans="1:40" ht="13.2">
      <c r="B15" s="11"/>
      <c r="C15" s="2253" t="s">
        <v>842</v>
      </c>
      <c r="D15" s="2253"/>
      <c r="E15" s="2253"/>
      <c r="F15" s="2253"/>
      <c r="G15" s="2253"/>
      <c r="H15" s="2253"/>
      <c r="I15" s="2253"/>
      <c r="J15" s="2253"/>
      <c r="K15" s="2253"/>
      <c r="L15" s="2253"/>
      <c r="M15" s="2253"/>
      <c r="N15" s="2253"/>
      <c r="O15" s="2253"/>
      <c r="P15" s="2253"/>
      <c r="Q15" s="2253"/>
      <c r="R15" s="2253"/>
      <c r="S15" s="2254"/>
      <c r="T15" s="1748">
        <f>'Basis &amp; Credits'!T15</f>
        <v>0</v>
      </c>
      <c r="U15" s="1752"/>
      <c r="V15" s="1752"/>
      <c r="W15" s="1752"/>
      <c r="X15" s="1752"/>
      <c r="Y15" s="1748">
        <f>'Basis &amp; Credits'!Y15</f>
        <v>0</v>
      </c>
      <c r="Z15" s="1752"/>
      <c r="AA15" s="1752"/>
      <c r="AB15" s="1752"/>
      <c r="AC15" s="1752"/>
      <c r="AD15" s="1752">
        <f>'Basis &amp; Credits'!AD15</f>
        <v>0</v>
      </c>
      <c r="AE15" s="1752"/>
      <c r="AF15" s="1752"/>
      <c r="AG15" s="1752"/>
      <c r="AH15" s="1752"/>
      <c r="AI15" s="1752">
        <f>'Basis &amp; Credits'!AI15</f>
        <v>0</v>
      </c>
      <c r="AJ15" s="1752"/>
      <c r="AK15" s="1752"/>
      <c r="AL15" s="1752"/>
      <c r="AM15" s="1752"/>
    </row>
    <row r="16" spans="1:40" ht="13.2">
      <c r="B16" s="11"/>
      <c r="C16" s="2252" t="s">
        <v>1117</v>
      </c>
      <c r="D16" s="2252"/>
      <c r="E16" s="2252"/>
      <c r="F16" s="2252"/>
      <c r="G16" s="2252"/>
      <c r="H16" s="2252"/>
      <c r="I16" s="2252"/>
      <c r="J16" s="2252"/>
      <c r="K16" s="2252"/>
      <c r="L16" s="2252"/>
      <c r="M16" s="2252"/>
      <c r="N16" s="2252"/>
      <c r="O16" s="2252"/>
      <c r="P16" s="2252"/>
      <c r="Q16" s="2252"/>
      <c r="R16" s="2252"/>
      <c r="S16" s="2255"/>
      <c r="T16" s="1748">
        <f>'Basis &amp; Credits'!T16</f>
        <v>0</v>
      </c>
      <c r="U16" s="1752"/>
      <c r="V16" s="1752"/>
      <c r="W16" s="1752"/>
      <c r="X16" s="1752"/>
      <c r="Y16" s="1748">
        <f>'Basis &amp; Credits'!Y16</f>
        <v>0</v>
      </c>
      <c r="Z16" s="1752"/>
      <c r="AA16" s="1752"/>
      <c r="AB16" s="1752"/>
      <c r="AC16" s="1752"/>
      <c r="AD16" s="1752">
        <f>'Basis &amp; Credits'!AD16</f>
        <v>0</v>
      </c>
      <c r="AE16" s="1752"/>
      <c r="AF16" s="1752"/>
      <c r="AG16" s="1752"/>
      <c r="AH16" s="1752"/>
      <c r="AI16" s="1752">
        <f>'Basis &amp; Credits'!AI16</f>
        <v>0</v>
      </c>
      <c r="AJ16" s="1752"/>
      <c r="AK16" s="1752"/>
      <c r="AL16" s="1752"/>
      <c r="AM16" s="1752"/>
    </row>
    <row r="17" spans="1:39" ht="13.2">
      <c r="B17" s="11"/>
      <c r="C17" s="2253" t="s">
        <v>843</v>
      </c>
      <c r="D17" s="2253"/>
      <c r="E17" s="2253"/>
      <c r="F17" s="2253"/>
      <c r="G17" s="2253"/>
      <c r="H17" s="2253"/>
      <c r="I17" s="2253"/>
      <c r="J17" s="2253"/>
      <c r="K17" s="2253"/>
      <c r="L17" s="2253"/>
      <c r="M17" s="2253"/>
      <c r="N17" s="2253"/>
      <c r="O17" s="2253"/>
      <c r="P17" s="2253"/>
      <c r="Q17" s="2253"/>
      <c r="R17" s="2253"/>
      <c r="S17" s="2254"/>
      <c r="T17" s="1748">
        <f>'Basis &amp; Credits'!T17</f>
        <v>0</v>
      </c>
      <c r="U17" s="1752"/>
      <c r="V17" s="1752"/>
      <c r="W17" s="1752"/>
      <c r="X17" s="1752"/>
      <c r="Y17" s="1748">
        <f>'Basis &amp; Credits'!Y17</f>
        <v>0</v>
      </c>
      <c r="Z17" s="1752"/>
      <c r="AA17" s="1752"/>
      <c r="AB17" s="1752"/>
      <c r="AC17" s="1752"/>
      <c r="AD17" s="1752">
        <f>'Basis &amp; Credits'!AD17</f>
        <v>0</v>
      </c>
      <c r="AE17" s="1752"/>
      <c r="AF17" s="1752"/>
      <c r="AG17" s="1752"/>
      <c r="AH17" s="1752"/>
      <c r="AI17" s="1752">
        <f>'Basis &amp; Credits'!AI17</f>
        <v>0</v>
      </c>
      <c r="AJ17" s="1752"/>
      <c r="AK17" s="1752"/>
      <c r="AL17" s="1752"/>
      <c r="AM17" s="1752"/>
    </row>
    <row r="18" spans="1:39" ht="13.2">
      <c r="B18" s="929"/>
      <c r="C18" s="2252" t="s">
        <v>1519</v>
      </c>
      <c r="D18" s="2253"/>
      <c r="E18" s="2253"/>
      <c r="F18" s="2253"/>
      <c r="G18" s="2253"/>
      <c r="H18" s="2253"/>
      <c r="I18" s="2253"/>
      <c r="J18" s="2253"/>
      <c r="K18" s="2253"/>
      <c r="L18" s="2253"/>
      <c r="M18" s="2253"/>
      <c r="N18" s="2253"/>
      <c r="O18" s="2253"/>
      <c r="P18" s="2253"/>
      <c r="Q18" s="2253"/>
      <c r="R18" s="2253"/>
      <c r="S18" s="2254"/>
      <c r="T18" s="1746">
        <f>'Basis &amp; Credits'!T18</f>
        <v>0</v>
      </c>
      <c r="U18" s="1747"/>
      <c r="V18" s="1747"/>
      <c r="W18" s="1747"/>
      <c r="X18" s="1748"/>
      <c r="Y18" s="1748">
        <f>'Basis &amp; Credits'!Y18</f>
        <v>0</v>
      </c>
      <c r="Z18" s="1752"/>
      <c r="AA18" s="1752"/>
      <c r="AB18" s="1752"/>
      <c r="AC18" s="1752"/>
      <c r="AD18" s="1752">
        <f>'Basis &amp; Credits'!AD18</f>
        <v>0</v>
      </c>
      <c r="AE18" s="1752"/>
      <c r="AF18" s="1752"/>
      <c r="AG18" s="1752"/>
      <c r="AH18" s="1752"/>
      <c r="AI18" s="1752">
        <f>'Basis &amp; Credits'!AI18</f>
        <v>0</v>
      </c>
      <c r="AJ18" s="1752"/>
      <c r="AK18" s="1752"/>
      <c r="AL18" s="1752"/>
      <c r="AM18" s="1752"/>
    </row>
    <row r="19" spans="1:39" ht="13.2">
      <c r="B19" s="768"/>
      <c r="C19" s="1809" t="str">
        <f>'Basis &amp; Credits'!C19:S19</f>
        <v>Subtract (specify other ineligible amounts):</v>
      </c>
      <c r="D19" s="1809"/>
      <c r="E19" s="1809"/>
      <c r="F19" s="1809"/>
      <c r="G19" s="1809"/>
      <c r="H19" s="1809"/>
      <c r="I19" s="1809"/>
      <c r="J19" s="1809"/>
      <c r="K19" s="1809"/>
      <c r="L19" s="1809"/>
      <c r="M19" s="1809"/>
      <c r="N19" s="1809"/>
      <c r="O19" s="1809"/>
      <c r="P19" s="1809"/>
      <c r="Q19" s="1809"/>
      <c r="R19" s="1809"/>
      <c r="S19" s="1810"/>
      <c r="T19" s="1748">
        <f>'Basis &amp; Credits'!T19</f>
        <v>0</v>
      </c>
      <c r="U19" s="1752"/>
      <c r="V19" s="1752"/>
      <c r="W19" s="1752"/>
      <c r="X19" s="1752"/>
      <c r="Y19" s="1748">
        <f>'Basis &amp; Credits'!Y19</f>
        <v>0</v>
      </c>
      <c r="Z19" s="1752"/>
      <c r="AA19" s="1752"/>
      <c r="AB19" s="1752"/>
      <c r="AC19" s="1752"/>
      <c r="AD19" s="1752">
        <f>'Basis &amp; Credits'!AD19</f>
        <v>0</v>
      </c>
      <c r="AE19" s="1752"/>
      <c r="AF19" s="1752"/>
      <c r="AG19" s="1752"/>
      <c r="AH19" s="1752"/>
      <c r="AI19" s="1752">
        <f>'Basis &amp; Credits'!AI19</f>
        <v>0</v>
      </c>
      <c r="AJ19" s="1752"/>
      <c r="AK19" s="1752"/>
      <c r="AL19" s="1752"/>
      <c r="AM19" s="1752"/>
    </row>
    <row r="20" spans="1:39" ht="13.2">
      <c r="B20" s="2219" t="s">
        <v>844</v>
      </c>
      <c r="C20" s="2220"/>
      <c r="D20" s="2220"/>
      <c r="E20" s="2220"/>
      <c r="F20" s="2220"/>
      <c r="G20" s="2220"/>
      <c r="H20" s="2220"/>
      <c r="I20" s="2220"/>
      <c r="J20" s="2220"/>
      <c r="K20" s="2220"/>
      <c r="L20" s="2220"/>
      <c r="M20" s="2220"/>
      <c r="N20" s="2220"/>
      <c r="O20" s="2220"/>
      <c r="P20" s="2220"/>
      <c r="Q20" s="2220"/>
      <c r="R20" s="2220"/>
      <c r="S20" s="2221"/>
      <c r="T20" s="2235">
        <f>SUM(T13:X19)</f>
        <v>0</v>
      </c>
      <c r="U20" s="2239"/>
      <c r="V20" s="2239"/>
      <c r="W20" s="2239"/>
      <c r="X20" s="2239"/>
      <c r="Y20" s="2235">
        <f>SUM(Y13:AC19)</f>
        <v>0</v>
      </c>
      <c r="Z20" s="2239"/>
      <c r="AA20" s="2239"/>
      <c r="AB20" s="2239"/>
      <c r="AC20" s="2239"/>
      <c r="AD20" s="2239">
        <f>SUM(AD13:AH19)</f>
        <v>0</v>
      </c>
      <c r="AE20" s="2239"/>
      <c r="AF20" s="2239"/>
      <c r="AG20" s="2239"/>
      <c r="AH20" s="2239"/>
      <c r="AI20" s="2239">
        <f>SUM(AI13:AM19)</f>
        <v>0</v>
      </c>
      <c r="AJ20" s="2239"/>
      <c r="AK20" s="2239"/>
      <c r="AL20" s="2239"/>
      <c r="AM20" s="2239"/>
    </row>
    <row r="21" spans="1:39" ht="13.2">
      <c r="B21" s="2219" t="s">
        <v>1932</v>
      </c>
      <c r="C21" s="2220"/>
      <c r="D21" s="2220"/>
      <c r="E21" s="2220"/>
      <c r="F21" s="2220"/>
      <c r="G21" s="2220"/>
      <c r="H21" s="2220"/>
      <c r="I21" s="2220"/>
      <c r="J21" s="2220"/>
      <c r="K21" s="2220"/>
      <c r="L21" s="2220"/>
      <c r="M21" s="2220"/>
      <c r="N21" s="2220"/>
      <c r="O21" s="2220"/>
      <c r="P21" s="2220"/>
      <c r="Q21" s="2220"/>
      <c r="R21" s="2220"/>
      <c r="S21" s="2221"/>
      <c r="T21" s="1748">
        <f>'Basis &amp; Credits'!T21</f>
        <v>4909483</v>
      </c>
      <c r="U21" s="1752"/>
      <c r="V21" s="1752"/>
      <c r="W21" s="1752"/>
      <c r="X21" s="1752"/>
      <c r="Y21" s="1748">
        <f>'Basis &amp; Credits'!Y21</f>
        <v>0</v>
      </c>
      <c r="Z21" s="1752"/>
      <c r="AA21" s="1752"/>
      <c r="AB21" s="1752"/>
      <c r="AC21" s="1752"/>
      <c r="AD21" s="1752">
        <f>'Basis &amp; Credits'!AD21</f>
        <v>0</v>
      </c>
      <c r="AE21" s="1752"/>
      <c r="AF21" s="1752"/>
      <c r="AG21" s="1752"/>
      <c r="AH21" s="1752"/>
      <c r="AI21" s="1752">
        <f>'Basis &amp; Credits'!AI21</f>
        <v>0</v>
      </c>
      <c r="AJ21" s="1752"/>
      <c r="AK21" s="1752"/>
      <c r="AL21" s="1752"/>
      <c r="AM21" s="1752"/>
    </row>
    <row r="22" spans="1:39" ht="13.2">
      <c r="B22" s="2219" t="s">
        <v>845</v>
      </c>
      <c r="C22" s="2220"/>
      <c r="D22" s="2220"/>
      <c r="E22" s="2220"/>
      <c r="F22" s="2220"/>
      <c r="G22" s="2220"/>
      <c r="H22" s="2220"/>
      <c r="I22" s="2220"/>
      <c r="J22" s="2220"/>
      <c r="K22" s="2220"/>
      <c r="L22" s="2220"/>
      <c r="M22" s="2220"/>
      <c r="N22" s="2220"/>
      <c r="O22" s="2220"/>
      <c r="P22" s="2220"/>
      <c r="Q22" s="2220"/>
      <c r="R22" s="2220"/>
      <c r="S22" s="2221"/>
      <c r="T22" s="2236">
        <f>(T20+T21)*-1</f>
        <v>-4909483</v>
      </c>
      <c r="U22" s="2237"/>
      <c r="V22" s="2237"/>
      <c r="W22" s="2237"/>
      <c r="X22" s="2237"/>
      <c r="Y22" s="2236">
        <f>(Y20+Y21)*-1</f>
        <v>0</v>
      </c>
      <c r="Z22" s="2237"/>
      <c r="AA22" s="2237"/>
      <c r="AB22" s="2237"/>
      <c r="AC22" s="2237"/>
      <c r="AD22" s="2236">
        <f>(AD20+AD21)*-1</f>
        <v>0</v>
      </c>
      <c r="AE22" s="2237"/>
      <c r="AF22" s="2237"/>
      <c r="AG22" s="2237"/>
      <c r="AH22" s="2237"/>
      <c r="AI22" s="2236">
        <f>(AI20+AI21)*-1</f>
        <v>0</v>
      </c>
      <c r="AJ22" s="2237"/>
      <c r="AK22" s="2237"/>
      <c r="AL22" s="2237"/>
      <c r="AM22" s="2237"/>
    </row>
    <row r="23" spans="1:39" ht="13.2">
      <c r="A23" s="2"/>
      <c r="B23" s="2230" t="s">
        <v>846</v>
      </c>
      <c r="C23" s="2231"/>
      <c r="D23" s="2231"/>
      <c r="E23" s="2231"/>
      <c r="F23" s="2231"/>
      <c r="G23" s="2231"/>
      <c r="H23" s="2231"/>
      <c r="I23" s="2231"/>
      <c r="J23" s="2231"/>
      <c r="K23" s="2231"/>
      <c r="L23" s="2231"/>
      <c r="M23" s="2231"/>
      <c r="N23" s="2231"/>
      <c r="O23" s="2231"/>
      <c r="P23" s="2231"/>
      <c r="Q23" s="2231"/>
      <c r="R23" s="2231"/>
      <c r="S23" s="2232"/>
      <c r="T23" s="2235">
        <f>T11+T22</f>
        <v>16571512</v>
      </c>
      <c r="U23" s="2239"/>
      <c r="V23" s="2239"/>
      <c r="W23" s="2239"/>
      <c r="X23" s="2239"/>
      <c r="Y23" s="2235">
        <f>Y11+Y22</f>
        <v>0</v>
      </c>
      <c r="Z23" s="2239"/>
      <c r="AA23" s="2239"/>
      <c r="AB23" s="2239"/>
      <c r="AC23" s="2239"/>
      <c r="AD23" s="2235">
        <f>AD11+AD22</f>
        <v>0</v>
      </c>
      <c r="AE23" s="2239"/>
      <c r="AF23" s="2239"/>
      <c r="AG23" s="2239"/>
      <c r="AH23" s="2239"/>
      <c r="AI23" s="2235">
        <f>AI11+AI22</f>
        <v>0</v>
      </c>
      <c r="AJ23" s="2239"/>
      <c r="AK23" s="2239"/>
      <c r="AL23" s="2239"/>
      <c r="AM23" s="2239"/>
    </row>
    <row r="24" spans="1:39" ht="13.2">
      <c r="B24" s="2219" t="s">
        <v>1350</v>
      </c>
      <c r="C24" s="2220"/>
      <c r="D24" s="2220"/>
      <c r="E24" s="2220"/>
      <c r="F24" s="2220"/>
      <c r="G24" s="2220"/>
      <c r="H24" s="2220"/>
      <c r="I24" s="2220"/>
      <c r="J24" s="2220"/>
      <c r="K24" s="2220"/>
      <c r="L24" s="2220"/>
      <c r="M24" s="2220"/>
      <c r="N24" s="2220"/>
      <c r="O24" s="2220"/>
      <c r="P24" s="2220"/>
      <c r="Q24" s="2220"/>
      <c r="R24" s="2220"/>
      <c r="S24" s="2221"/>
      <c r="T24" s="2233">
        <f>Application!AD991</f>
        <v>0</v>
      </c>
      <c r="U24" s="2234"/>
      <c r="V24" s="2234"/>
      <c r="W24" s="2234"/>
      <c r="X24" s="2234"/>
      <c r="Y24" s="2234"/>
      <c r="Z24" s="2234"/>
      <c r="AA24" s="2234"/>
      <c r="AB24" s="2234"/>
      <c r="AC24" s="2234"/>
      <c r="AD24" s="2234"/>
      <c r="AE24" s="2234"/>
      <c r="AF24" s="2234"/>
      <c r="AG24" s="2234"/>
      <c r="AH24" s="2234"/>
      <c r="AI24" s="2234"/>
      <c r="AJ24" s="2234"/>
      <c r="AK24" s="2234"/>
      <c r="AL24" s="2234"/>
      <c r="AM24" s="2235"/>
    </row>
    <row r="25" spans="1:39" ht="13.2">
      <c r="B25" s="2222" t="s">
        <v>1977</v>
      </c>
      <c r="C25" s="2223"/>
      <c r="D25" s="2223"/>
      <c r="E25" s="2223"/>
      <c r="F25" s="2223"/>
      <c r="G25" s="2223"/>
      <c r="H25" s="2223"/>
      <c r="I25" s="2223"/>
      <c r="J25" s="2223"/>
      <c r="K25" s="2223"/>
      <c r="L25" s="2223"/>
      <c r="M25" s="2223"/>
      <c r="N25" s="2223"/>
      <c r="O25" s="2223"/>
      <c r="P25" s="2223"/>
      <c r="Q25" s="2223"/>
      <c r="R25" s="2223"/>
      <c r="S25" s="2224"/>
      <c r="T25" s="2242">
        <v>1</v>
      </c>
      <c r="U25" s="2243"/>
      <c r="V25" s="2243"/>
      <c r="W25" s="2243"/>
      <c r="X25" s="2243"/>
      <c r="Y25" s="2242">
        <v>1</v>
      </c>
      <c r="Z25" s="2243"/>
      <c r="AA25" s="2243"/>
      <c r="AB25" s="2243"/>
      <c r="AC25" s="2244"/>
      <c r="AD25" s="2242">
        <v>1</v>
      </c>
      <c r="AE25" s="2243"/>
      <c r="AF25" s="2243"/>
      <c r="AG25" s="2243"/>
      <c r="AH25" s="2244"/>
      <c r="AI25" s="2242">
        <v>1</v>
      </c>
      <c r="AJ25" s="2243"/>
      <c r="AK25" s="2243"/>
      <c r="AL25" s="2243"/>
      <c r="AM25" s="2244"/>
    </row>
    <row r="26" spans="1:39" ht="13.2">
      <c r="B26" s="2219" t="s">
        <v>847</v>
      </c>
      <c r="C26" s="2220"/>
      <c r="D26" s="2220"/>
      <c r="E26" s="2220"/>
      <c r="F26" s="2220"/>
      <c r="G26" s="2220"/>
      <c r="H26" s="2220"/>
      <c r="I26" s="2220"/>
      <c r="J26" s="2220"/>
      <c r="K26" s="2220"/>
      <c r="L26" s="2220"/>
      <c r="M26" s="2220"/>
      <c r="N26" s="2220"/>
      <c r="O26" s="2220"/>
      <c r="P26" s="2220"/>
      <c r="Q26" s="2220"/>
      <c r="R26" s="2220"/>
      <c r="S26" s="2221"/>
      <c r="T26" s="2240">
        <f>T23*T25</f>
        <v>16571512</v>
      </c>
      <c r="U26" s="2241"/>
      <c r="V26" s="2241"/>
      <c r="W26" s="2241"/>
      <c r="X26" s="2241"/>
      <c r="Y26" s="2240">
        <f>Y23*Y25</f>
        <v>0</v>
      </c>
      <c r="Z26" s="2241"/>
      <c r="AA26" s="2241"/>
      <c r="AB26" s="2241"/>
      <c r="AC26" s="2241"/>
      <c r="AD26" s="2240">
        <f>AD23*AD25</f>
        <v>0</v>
      </c>
      <c r="AE26" s="2241"/>
      <c r="AF26" s="2241"/>
      <c r="AG26" s="2241"/>
      <c r="AH26" s="2241"/>
      <c r="AI26" s="2240">
        <f>AI23*AI25</f>
        <v>0</v>
      </c>
      <c r="AJ26" s="2241"/>
      <c r="AK26" s="2241"/>
      <c r="AL26" s="2241"/>
      <c r="AM26" s="2241"/>
    </row>
    <row r="27" spans="1:39" ht="13.2">
      <c r="A27" s="7"/>
      <c r="B27" s="2225" t="s">
        <v>978</v>
      </c>
      <c r="C27" s="2226"/>
      <c r="D27" s="2226"/>
      <c r="E27" s="2226"/>
      <c r="F27" s="2226"/>
      <c r="G27" s="2226"/>
      <c r="H27" s="2226"/>
      <c r="I27" s="2226"/>
      <c r="J27" s="2226"/>
      <c r="K27" s="2226"/>
      <c r="L27" s="2226"/>
      <c r="M27" s="2226"/>
      <c r="N27" s="2226"/>
      <c r="O27" s="2226"/>
      <c r="P27" s="2226"/>
      <c r="Q27" s="2226"/>
      <c r="R27" s="2226"/>
      <c r="S27" s="2227"/>
      <c r="T27" s="2228">
        <f>Application!AG438</f>
        <v>1</v>
      </c>
      <c r="U27" s="2229"/>
      <c r="V27" s="2229"/>
      <c r="W27" s="2229"/>
      <c r="X27" s="2229"/>
      <c r="Y27" s="2228">
        <f>Application!AG438</f>
        <v>1</v>
      </c>
      <c r="Z27" s="2229"/>
      <c r="AA27" s="2229"/>
      <c r="AB27" s="2229"/>
      <c r="AC27" s="2229"/>
      <c r="AD27" s="2228">
        <f>Application!AG438</f>
        <v>1</v>
      </c>
      <c r="AE27" s="2229"/>
      <c r="AF27" s="2229"/>
      <c r="AG27" s="2229"/>
      <c r="AH27" s="2229"/>
      <c r="AI27" s="2228">
        <f>Application!AG438</f>
        <v>1</v>
      </c>
      <c r="AJ27" s="2229"/>
      <c r="AK27" s="2229"/>
      <c r="AL27" s="2229"/>
      <c r="AM27" s="2229"/>
    </row>
    <row r="28" spans="1:39" ht="12.75" customHeight="1">
      <c r="A28" s="6"/>
      <c r="B28" s="2219" t="s">
        <v>925</v>
      </c>
      <c r="C28" s="2220"/>
      <c r="D28" s="2220"/>
      <c r="E28" s="2220"/>
      <c r="F28" s="2220"/>
      <c r="G28" s="2220"/>
      <c r="H28" s="2220"/>
      <c r="I28" s="2220"/>
      <c r="J28" s="2220"/>
      <c r="K28" s="2220"/>
      <c r="L28" s="2220"/>
      <c r="M28" s="2220"/>
      <c r="N28" s="2220"/>
      <c r="O28" s="2220"/>
      <c r="P28" s="2220"/>
      <c r="Q28" s="2220"/>
      <c r="R28" s="2220"/>
      <c r="S28" s="2221"/>
      <c r="T28" s="1772">
        <f>IF(ISERROR((T26*T27)),0,(T26*T27))</f>
        <v>16571512</v>
      </c>
      <c r="U28" s="2238"/>
      <c r="V28" s="2238"/>
      <c r="W28" s="2238"/>
      <c r="X28" s="2238"/>
      <c r="Y28" s="1772">
        <f>IF(ISERROR((Y26*Y27)),0,(Y26*Y27))</f>
        <v>0</v>
      </c>
      <c r="Z28" s="2238"/>
      <c r="AA28" s="2238"/>
      <c r="AB28" s="2238"/>
      <c r="AC28" s="2238"/>
      <c r="AD28" s="1772">
        <f>IF(ISERROR((AD26*AD27)),0,(AD26*AD27))</f>
        <v>0</v>
      </c>
      <c r="AE28" s="2238"/>
      <c r="AF28" s="2238"/>
      <c r="AG28" s="2238"/>
      <c r="AH28" s="2238"/>
      <c r="AI28" s="1772">
        <f>IF(ISERROR((AI26*AI27)),0,(AI26*AI27))</f>
        <v>0</v>
      </c>
      <c r="AJ28" s="2238"/>
      <c r="AK28" s="2238"/>
      <c r="AL28" s="2238"/>
      <c r="AM28" s="2238"/>
    </row>
    <row r="29" spans="1:39" ht="13.2">
      <c r="B29" s="2219" t="s">
        <v>689</v>
      </c>
      <c r="C29" s="2220"/>
      <c r="D29" s="2220"/>
      <c r="E29" s="2220"/>
      <c r="F29" s="2220"/>
      <c r="G29" s="2220"/>
      <c r="H29" s="2220"/>
      <c r="I29" s="2220"/>
      <c r="J29" s="2220"/>
      <c r="K29" s="2220"/>
      <c r="L29" s="2220"/>
      <c r="M29" s="2220"/>
      <c r="N29" s="2220"/>
      <c r="O29" s="2220"/>
      <c r="P29" s="2220"/>
      <c r="Q29" s="2220"/>
      <c r="R29" s="2220"/>
      <c r="S29" s="2221"/>
      <c r="T29" s="2233">
        <f>T28+Y28+AD28+AI28</f>
        <v>16571512</v>
      </c>
      <c r="U29" s="2234"/>
      <c r="V29" s="2234"/>
      <c r="W29" s="2234"/>
      <c r="X29" s="2234"/>
      <c r="Y29" s="2234"/>
      <c r="Z29" s="2234"/>
      <c r="AA29" s="2234"/>
      <c r="AB29" s="2234"/>
      <c r="AC29" s="2234"/>
      <c r="AD29" s="2234"/>
      <c r="AE29" s="2234"/>
      <c r="AF29" s="2234"/>
      <c r="AG29" s="2234"/>
      <c r="AH29" s="2234"/>
      <c r="AI29" s="2234"/>
      <c r="AJ29" s="2234"/>
      <c r="AK29" s="2234"/>
      <c r="AL29" s="2234"/>
      <c r="AM29" s="2235"/>
    </row>
    <row r="30" spans="1:39" ht="12.75" customHeight="1">
      <c r="B30" s="2649"/>
      <c r="C30" s="2649"/>
      <c r="D30" s="2649"/>
      <c r="E30" s="2649"/>
      <c r="F30" s="2649"/>
      <c r="G30" s="2649"/>
      <c r="H30" s="2649"/>
      <c r="I30" s="2649"/>
      <c r="J30" s="2649"/>
      <c r="K30" s="2649"/>
      <c r="L30" s="2649"/>
      <c r="M30" s="2649"/>
      <c r="N30" s="2649"/>
      <c r="O30" s="2649"/>
      <c r="P30" s="2649"/>
      <c r="Q30" s="2649"/>
      <c r="R30" s="2649"/>
      <c r="S30" s="2649"/>
      <c r="T30" s="2649"/>
      <c r="U30" s="2649"/>
      <c r="V30" s="2649"/>
      <c r="W30" s="2649"/>
      <c r="X30" s="2649"/>
      <c r="Y30" s="2649"/>
      <c r="Z30" s="2649"/>
      <c r="AA30" s="2649"/>
      <c r="AB30" s="2649"/>
      <c r="AC30" s="2649"/>
      <c r="AD30" s="2649"/>
      <c r="AE30" s="2649"/>
      <c r="AF30" s="2649"/>
      <c r="AG30" s="2649"/>
      <c r="AH30" s="2649"/>
      <c r="AI30" s="2649"/>
      <c r="AJ30" s="2649"/>
      <c r="AK30" s="2649"/>
      <c r="AL30" s="2649"/>
      <c r="AM30" s="2649"/>
    </row>
    <row r="31" spans="1:39" ht="13.2">
      <c r="C31" s="545"/>
      <c r="E31" s="1"/>
      <c r="F31" s="1"/>
      <c r="G31" s="1"/>
      <c r="H31" s="1"/>
      <c r="I31" s="1"/>
      <c r="J31" s="1"/>
      <c r="K31" s="1"/>
      <c r="L31" s="1"/>
      <c r="M31" s="1"/>
      <c r="N31" s="1"/>
      <c r="O31" s="1"/>
      <c r="P31" s="1"/>
      <c r="Q31" s="1"/>
      <c r="R31" s="1"/>
      <c r="S31" s="1"/>
      <c r="T31" s="1"/>
      <c r="U31" s="1"/>
      <c r="V31" s="1"/>
      <c r="W31" s="1"/>
      <c r="X31" s="279"/>
      <c r="Y31" s="280"/>
      <c r="Z31" s="280"/>
      <c r="AA31" s="280"/>
      <c r="AB31" s="280"/>
      <c r="AC31" s="280"/>
      <c r="AD31" s="280"/>
      <c r="AE31" s="280"/>
      <c r="AF31" s="280"/>
      <c r="AG31" s="280"/>
      <c r="AH31" s="280"/>
    </row>
    <row r="32" spans="1:39" ht="13.2">
      <c r="C32" s="281"/>
      <c r="D32" s="1"/>
      <c r="E32" s="1"/>
      <c r="F32" s="1"/>
      <c r="G32" s="1"/>
      <c r="H32" s="1"/>
      <c r="I32" s="1"/>
      <c r="J32" s="1"/>
      <c r="K32" s="1"/>
      <c r="L32" s="1"/>
      <c r="M32" s="1"/>
      <c r="N32" s="1"/>
      <c r="O32" s="1"/>
      <c r="P32" s="1"/>
      <c r="Q32" s="1"/>
      <c r="R32" s="1"/>
      <c r="S32" s="1"/>
      <c r="T32" s="1"/>
      <c r="U32" s="1"/>
      <c r="V32" s="1"/>
      <c r="W32" s="1"/>
      <c r="X32" s="279"/>
      <c r="Y32" s="280"/>
      <c r="Z32" s="280"/>
      <c r="AA32" s="280"/>
      <c r="AB32" s="280"/>
      <c r="AC32" s="280"/>
      <c r="AD32" s="280"/>
      <c r="AE32" s="280"/>
      <c r="AF32" s="280"/>
      <c r="AG32" s="280"/>
      <c r="AH32" s="280"/>
    </row>
    <row r="33" spans="1:40" ht="13.2">
      <c r="A33" s="6" t="s">
        <v>8</v>
      </c>
      <c r="C33" s="6" t="s">
        <v>230</v>
      </c>
    </row>
    <row r="34" spans="1:40" ht="13.2">
      <c r="A34" s="6"/>
      <c r="C34" s="6"/>
    </row>
    <row r="35" spans="1:40" ht="13.2">
      <c r="B35" s="9"/>
      <c r="C35" s="10"/>
      <c r="D35" s="10"/>
      <c r="E35" s="10"/>
      <c r="F35" s="10"/>
      <c r="G35" s="10"/>
      <c r="H35" s="10"/>
      <c r="I35" s="10"/>
      <c r="J35" s="10"/>
      <c r="K35" s="10"/>
      <c r="L35" s="10"/>
      <c r="M35" s="10"/>
      <c r="N35" s="10"/>
      <c r="O35" s="10"/>
      <c r="P35" s="10"/>
      <c r="Q35" s="10"/>
      <c r="R35" s="10"/>
      <c r="S35" s="10"/>
      <c r="T35" s="10"/>
      <c r="U35" s="10"/>
      <c r="V35" s="10"/>
      <c r="W35" s="10"/>
      <c r="X35" s="336"/>
      <c r="Y35" s="2245" t="s">
        <v>1814</v>
      </c>
      <c r="Z35" s="2245"/>
      <c r="AA35" s="2245"/>
      <c r="AB35" s="2245"/>
      <c r="AC35" s="2245"/>
      <c r="AD35" s="2289" t="s">
        <v>46</v>
      </c>
      <c r="AE35" s="2289"/>
      <c r="AF35" s="2289"/>
      <c r="AG35" s="2289"/>
      <c r="AH35" s="2289"/>
    </row>
    <row r="36" spans="1:40" ht="12.75" customHeight="1">
      <c r="B36" s="337"/>
      <c r="C36" s="1"/>
      <c r="D36" s="1"/>
      <c r="E36" s="1"/>
      <c r="F36" s="1"/>
      <c r="G36" s="1"/>
      <c r="H36" s="1"/>
      <c r="I36" s="1"/>
      <c r="J36" s="1"/>
      <c r="K36" s="1"/>
      <c r="L36" s="1"/>
      <c r="M36" s="1"/>
      <c r="N36" s="1"/>
      <c r="O36" s="1"/>
      <c r="P36" s="1"/>
      <c r="Q36" s="1"/>
      <c r="R36" s="1"/>
      <c r="S36" s="1"/>
      <c r="T36" s="1"/>
      <c r="U36" s="1"/>
      <c r="V36" s="1"/>
      <c r="W36" s="1"/>
      <c r="X36" s="338"/>
      <c r="Y36" s="2245"/>
      <c r="Z36" s="2245"/>
      <c r="AA36" s="2245"/>
      <c r="AB36" s="2245"/>
      <c r="AC36" s="2245"/>
      <c r="AD36" s="2289"/>
      <c r="AE36" s="2289"/>
      <c r="AF36" s="2289"/>
      <c r="AG36" s="2289"/>
      <c r="AH36" s="2289"/>
    </row>
    <row r="37" spans="1:40" ht="13.2">
      <c r="B37" s="277"/>
      <c r="C37" s="278"/>
      <c r="D37" s="278"/>
      <c r="E37" s="278"/>
      <c r="F37" s="278"/>
      <c r="G37" s="278"/>
      <c r="H37" s="278"/>
      <c r="I37" s="278"/>
      <c r="J37" s="278"/>
      <c r="K37" s="278"/>
      <c r="L37" s="278"/>
      <c r="M37" s="278"/>
      <c r="N37" s="278"/>
      <c r="O37" s="278"/>
      <c r="P37" s="278"/>
      <c r="Q37" s="278"/>
      <c r="R37" s="278"/>
      <c r="S37" s="278"/>
      <c r="T37" s="278"/>
      <c r="U37" s="278"/>
      <c r="V37" s="278"/>
      <c r="W37" s="278"/>
      <c r="X37" s="339"/>
      <c r="Y37" s="2245"/>
      <c r="Z37" s="2245"/>
      <c r="AA37" s="2245"/>
      <c r="AB37" s="2245"/>
      <c r="AC37" s="2245"/>
      <c r="AD37" s="2289"/>
      <c r="AE37" s="2289"/>
      <c r="AF37" s="2289"/>
      <c r="AG37" s="2289"/>
      <c r="AH37" s="2289"/>
    </row>
    <row r="38" spans="1:40" ht="12.75" customHeight="1">
      <c r="A38" s="6"/>
      <c r="B38" s="2219" t="s">
        <v>925</v>
      </c>
      <c r="C38" s="2220"/>
      <c r="D38" s="2220"/>
      <c r="E38" s="2220"/>
      <c r="F38" s="2220"/>
      <c r="G38" s="2220"/>
      <c r="H38" s="2220"/>
      <c r="I38" s="2220"/>
      <c r="J38" s="2220"/>
      <c r="K38" s="2220"/>
      <c r="L38" s="2220"/>
      <c r="M38" s="2220"/>
      <c r="N38" s="2220"/>
      <c r="O38" s="2220"/>
      <c r="P38" s="2220"/>
      <c r="Q38" s="2220"/>
      <c r="R38" s="2220"/>
      <c r="S38" s="2220"/>
      <c r="T38" s="2220"/>
      <c r="U38" s="2220"/>
      <c r="V38" s="2220"/>
      <c r="W38" s="2220"/>
      <c r="X38" s="2221"/>
      <c r="Y38" s="2239">
        <f>IF(T24&gt;=(T23+Y23+AD23+AI23),T28+Y28,0)</f>
        <v>0</v>
      </c>
      <c r="Z38" s="2239"/>
      <c r="AA38" s="2239"/>
      <c r="AB38" s="2239"/>
      <c r="AC38" s="2239"/>
      <c r="AD38" s="2239">
        <f>IF(T24&gt;=(T23+Y23+AD23+AI23),AD28+AI28,0)</f>
        <v>0</v>
      </c>
      <c r="AE38" s="2239"/>
      <c r="AF38" s="2239"/>
      <c r="AG38" s="2239"/>
      <c r="AH38" s="2239"/>
    </row>
    <row r="39" spans="1:40" ht="13.2">
      <c r="B39" s="2219" t="s">
        <v>837</v>
      </c>
      <c r="C39" s="2220"/>
      <c r="D39" s="2220"/>
      <c r="E39" s="2220"/>
      <c r="F39" s="2220"/>
      <c r="G39" s="2220"/>
      <c r="H39" s="2220"/>
      <c r="I39" s="2220"/>
      <c r="J39" s="2220"/>
      <c r="K39" s="2220"/>
      <c r="L39" s="2220"/>
      <c r="M39" s="2220"/>
      <c r="N39" s="2220"/>
      <c r="O39" s="2220"/>
      <c r="P39" s="2220"/>
      <c r="Q39" s="2220"/>
      <c r="R39" s="2220"/>
      <c r="S39" s="2220"/>
      <c r="T39" s="2220"/>
      <c r="U39" s="2220"/>
      <c r="V39" s="2220"/>
      <c r="W39" s="2220"/>
      <c r="X39" s="2221"/>
      <c r="Y39" s="2294">
        <v>0.09</v>
      </c>
      <c r="Z39" s="2294"/>
      <c r="AA39" s="2294"/>
      <c r="AB39" s="2294"/>
      <c r="AC39" s="2294"/>
      <c r="AD39" s="2294">
        <f>'Basis &amp; Credits'!AD39:AH39</f>
        <v>0.04</v>
      </c>
      <c r="AE39" s="2294"/>
      <c r="AF39" s="2294"/>
      <c r="AG39" s="2294"/>
      <c r="AH39" s="2294"/>
    </row>
    <row r="40" spans="1:40" ht="12.75" customHeight="1">
      <c r="A40" s="6"/>
      <c r="B40" s="2219" t="s">
        <v>26</v>
      </c>
      <c r="C40" s="2220"/>
      <c r="D40" s="2220"/>
      <c r="E40" s="2220"/>
      <c r="F40" s="2220"/>
      <c r="G40" s="2220"/>
      <c r="H40" s="2220"/>
      <c r="I40" s="2220"/>
      <c r="J40" s="2220"/>
      <c r="K40" s="2220"/>
      <c r="L40" s="2220"/>
      <c r="M40" s="2220"/>
      <c r="N40" s="2220"/>
      <c r="O40" s="2220"/>
      <c r="P40" s="2220"/>
      <c r="Q40" s="2220"/>
      <c r="R40" s="2220"/>
      <c r="S40" s="2220"/>
      <c r="T40" s="2220"/>
      <c r="U40" s="2220"/>
      <c r="V40" s="2220"/>
      <c r="W40" s="2220"/>
      <c r="X40" s="2221"/>
      <c r="Y40" s="2239">
        <f>ROUND(Y38*Y39,0)</f>
        <v>0</v>
      </c>
      <c r="Z40" s="2239"/>
      <c r="AA40" s="2239"/>
      <c r="AB40" s="2239"/>
      <c r="AC40" s="2239"/>
      <c r="AD40" s="2235">
        <f>ROUND(AD38*AD39,0)</f>
        <v>0</v>
      </c>
      <c r="AE40" s="2239"/>
      <c r="AF40" s="2239"/>
      <c r="AG40" s="2239"/>
      <c r="AH40" s="2239"/>
    </row>
    <row r="41" spans="1:40" ht="13.2">
      <c r="B41" s="2219" t="s">
        <v>683</v>
      </c>
      <c r="C41" s="2220"/>
      <c r="D41" s="2220"/>
      <c r="E41" s="2220"/>
      <c r="F41" s="2220"/>
      <c r="G41" s="2220"/>
      <c r="H41" s="2220"/>
      <c r="I41" s="2220"/>
      <c r="J41" s="2220"/>
      <c r="K41" s="2220"/>
      <c r="L41" s="2220"/>
      <c r="M41" s="2220"/>
      <c r="N41" s="2220"/>
      <c r="O41" s="2220"/>
      <c r="P41" s="2220"/>
      <c r="Q41" s="2220"/>
      <c r="R41" s="2220"/>
      <c r="S41" s="2220"/>
      <c r="T41" s="2220"/>
      <c r="U41" s="2220"/>
      <c r="V41" s="2220"/>
      <c r="W41" s="2220"/>
      <c r="X41" s="2221"/>
      <c r="Y41" s="2295">
        <f>IF((Y40+AD40)&gt;2500000,2500000,Y40+AD40)</f>
        <v>0</v>
      </c>
      <c r="Z41" s="2296"/>
      <c r="AA41" s="2296"/>
      <c r="AB41" s="2296"/>
      <c r="AC41" s="2296"/>
      <c r="AD41" s="2296"/>
      <c r="AE41" s="2296"/>
      <c r="AF41" s="2296"/>
      <c r="AG41" s="2296"/>
      <c r="AH41" s="2297"/>
    </row>
    <row r="42" spans="1:40" ht="12.75" customHeight="1">
      <c r="A42" s="6"/>
      <c r="B42" s="2279" t="s">
        <v>1289</v>
      </c>
      <c r="C42" s="2279"/>
      <c r="D42" s="2279"/>
      <c r="E42" s="2279"/>
      <c r="F42" s="2279"/>
      <c r="G42" s="2279"/>
      <c r="H42" s="2279"/>
      <c r="I42" s="2279"/>
      <c r="J42" s="2279"/>
      <c r="K42" s="2279"/>
      <c r="L42" s="2279"/>
      <c r="M42" s="2279"/>
      <c r="N42" s="2279"/>
      <c r="O42" s="2279"/>
      <c r="P42" s="2279"/>
      <c r="Q42" s="2279"/>
      <c r="R42" s="2279"/>
      <c r="S42" s="2279"/>
      <c r="T42" s="2279"/>
      <c r="U42" s="2279"/>
      <c r="V42" s="2279"/>
      <c r="W42" s="2279"/>
      <c r="X42" s="2279"/>
      <c r="Y42" s="2279"/>
      <c r="Z42" s="2279"/>
      <c r="AA42" s="2279"/>
      <c r="AB42" s="2279"/>
      <c r="AC42" s="2279"/>
      <c r="AD42" s="2279"/>
      <c r="AE42" s="2279"/>
      <c r="AF42" s="2279"/>
      <c r="AG42" s="2279"/>
      <c r="AH42" s="2279"/>
      <c r="AI42" s="949"/>
      <c r="AJ42" s="949"/>
      <c r="AK42" s="949"/>
      <c r="AL42" s="949"/>
      <c r="AM42" s="949"/>
      <c r="AN42" s="949"/>
    </row>
    <row r="43" spans="1:40" ht="13.2">
      <c r="B43" s="933"/>
      <c r="C43" s="933"/>
      <c r="D43" s="933"/>
      <c r="E43" s="933"/>
      <c r="F43" s="933"/>
      <c r="G43" s="933"/>
      <c r="H43" s="933"/>
      <c r="I43" s="933"/>
      <c r="J43" s="933"/>
      <c r="K43" s="933"/>
      <c r="L43" s="933"/>
      <c r="M43" s="933"/>
      <c r="N43" s="933"/>
      <c r="O43" s="933"/>
      <c r="P43" s="933"/>
      <c r="Q43" s="933"/>
      <c r="R43" s="933"/>
      <c r="S43" s="933"/>
      <c r="T43" s="933"/>
      <c r="U43" s="933"/>
      <c r="V43" s="933"/>
      <c r="W43" s="933"/>
      <c r="X43" s="933"/>
      <c r="Y43" s="933"/>
      <c r="Z43" s="933"/>
      <c r="AA43" s="933"/>
      <c r="AB43" s="933"/>
      <c r="AC43" s="933"/>
      <c r="AD43" s="933"/>
      <c r="AE43" s="933"/>
      <c r="AF43" s="933"/>
      <c r="AG43" s="933"/>
      <c r="AH43" s="933"/>
    </row>
    <row r="44" spans="1:40" ht="13.2">
      <c r="A44" s="6"/>
      <c r="B44" s="933"/>
      <c r="C44" s="933"/>
      <c r="D44" s="933"/>
      <c r="E44" s="933"/>
      <c r="F44" s="933"/>
      <c r="G44" s="933"/>
      <c r="H44" s="933"/>
      <c r="I44" s="933"/>
      <c r="J44" s="933"/>
      <c r="K44" s="933"/>
      <c r="L44" s="933"/>
      <c r="M44" s="933"/>
      <c r="N44" s="933"/>
      <c r="O44" s="933"/>
      <c r="P44" s="933"/>
      <c r="Q44" s="933"/>
      <c r="R44" s="933"/>
      <c r="S44" s="933"/>
      <c r="T44" s="933"/>
      <c r="U44" s="933"/>
      <c r="V44" s="933"/>
      <c r="W44" s="933"/>
      <c r="X44" s="933"/>
      <c r="Y44" s="933"/>
      <c r="Z44" s="933"/>
      <c r="AA44" s="933"/>
      <c r="AB44" s="933"/>
      <c r="AC44" s="933"/>
      <c r="AD44" s="933"/>
      <c r="AE44" s="933"/>
      <c r="AF44" s="933"/>
      <c r="AG44" s="933"/>
      <c r="AH44" s="933"/>
    </row>
    <row r="45" spans="1:40" ht="13.2">
      <c r="A45" s="6" t="s">
        <v>131</v>
      </c>
      <c r="C45" s="6" t="s">
        <v>281</v>
      </c>
    </row>
    <row r="46" spans="1:40" ht="13.2">
      <c r="D46" s="6" t="s">
        <v>282</v>
      </c>
      <c r="AB46" s="2283">
        <f>'Sources and Uses Budget'!B104-'Sources and Uses Budget'!$B$15</f>
        <v>24107565</v>
      </c>
      <c r="AC46" s="2284"/>
      <c r="AD46" s="2284"/>
      <c r="AE46" s="2284"/>
      <c r="AF46" s="2285"/>
    </row>
    <row r="47" spans="1:40" ht="12.75" customHeight="1">
      <c r="D47" s="6" t="s">
        <v>919</v>
      </c>
      <c r="AB47" s="2283">
        <f>Application!AG642-MIN('Sources and Uses Budget'!B15,Application!AG385)</f>
        <v>0</v>
      </c>
      <c r="AC47" s="2284"/>
      <c r="AD47" s="2284"/>
      <c r="AE47" s="2284"/>
      <c r="AF47" s="2285"/>
    </row>
    <row r="48" spans="1:40" ht="13.2">
      <c r="D48" s="6" t="s">
        <v>422</v>
      </c>
      <c r="AB48" s="2283">
        <f>AB46-AB47</f>
        <v>24107565</v>
      </c>
      <c r="AC48" s="2284"/>
      <c r="AD48" s="2284"/>
      <c r="AE48" s="2284"/>
      <c r="AF48" s="2285"/>
    </row>
    <row r="49" spans="1:40" ht="13.2">
      <c r="D49" s="6" t="s">
        <v>958</v>
      </c>
      <c r="X49" s="2"/>
      <c r="Y49" s="2"/>
      <c r="Z49" s="2"/>
      <c r="AA49" s="409"/>
      <c r="AB49" s="2273"/>
      <c r="AC49" s="2274"/>
      <c r="AD49" s="2274"/>
      <c r="AE49" s="2274"/>
      <c r="AF49" s="2275"/>
    </row>
    <row r="50" spans="1:40" s="515" customFormat="1" ht="15" customHeight="1">
      <c r="A50" s="2"/>
      <c r="B50" s="2"/>
      <c r="C50" s="2"/>
      <c r="D50" s="272"/>
      <c r="E50" s="2286" t="s">
        <v>1507</v>
      </c>
      <c r="F50" s="2286"/>
      <c r="G50" s="2286"/>
      <c r="H50" s="2286"/>
      <c r="I50" s="2286"/>
      <c r="J50" s="2286"/>
      <c r="K50" s="2286"/>
      <c r="L50" s="2286"/>
      <c r="M50" s="2286"/>
      <c r="N50" s="2286"/>
      <c r="O50" s="2286"/>
      <c r="P50" s="2286"/>
      <c r="Q50" s="2286"/>
      <c r="R50" s="2286"/>
      <c r="S50" s="2286"/>
      <c r="T50" s="2286"/>
      <c r="U50" s="2286"/>
      <c r="V50" s="2286"/>
      <c r="W50" s="2286"/>
      <c r="X50" s="2286"/>
      <c r="Y50" s="2286"/>
      <c r="Z50" s="2286"/>
      <c r="AA50" s="778"/>
      <c r="AB50" s="778"/>
      <c r="AC50" s="778"/>
      <c r="AD50" s="778"/>
      <c r="AE50" s="778"/>
      <c r="AF50" s="778"/>
      <c r="AG50" s="2"/>
      <c r="AH50" s="2"/>
      <c r="AI50" s="2"/>
      <c r="AJ50" s="2"/>
      <c r="AK50" s="2"/>
      <c r="AL50" s="2"/>
      <c r="AM50" s="2"/>
      <c r="AN50" s="2"/>
    </row>
    <row r="51" spans="1:40" s="515" customFormat="1" ht="12" customHeight="1">
      <c r="A51" s="2"/>
      <c r="B51" s="2"/>
      <c r="C51" s="2"/>
      <c r="D51" s="272"/>
      <c r="E51" s="2286"/>
      <c r="F51" s="2286"/>
      <c r="G51" s="2286"/>
      <c r="H51" s="2286"/>
      <c r="I51" s="2286"/>
      <c r="J51" s="2286"/>
      <c r="K51" s="2286"/>
      <c r="L51" s="2286"/>
      <c r="M51" s="2286"/>
      <c r="N51" s="2286"/>
      <c r="O51" s="2286"/>
      <c r="P51" s="2286"/>
      <c r="Q51" s="2286"/>
      <c r="R51" s="2286"/>
      <c r="S51" s="2286"/>
      <c r="T51" s="2286"/>
      <c r="U51" s="2286"/>
      <c r="V51" s="2286"/>
      <c r="W51" s="2286"/>
      <c r="X51" s="2286"/>
      <c r="Y51" s="2286"/>
      <c r="Z51" s="2286"/>
      <c r="AA51" s="779"/>
      <c r="AB51" s="779"/>
      <c r="AC51" s="779"/>
      <c r="AD51" s="779"/>
      <c r="AE51" s="779"/>
      <c r="AF51" s="779"/>
      <c r="AG51" s="516"/>
      <c r="AH51" s="2"/>
      <c r="AI51" s="2"/>
      <c r="AJ51" s="2"/>
      <c r="AK51" s="2"/>
      <c r="AL51" s="2"/>
      <c r="AM51" s="2"/>
      <c r="AN51" s="2"/>
    </row>
    <row r="52" spans="1:40" ht="12" customHeight="1">
      <c r="A52" s="2"/>
      <c r="B52" s="2"/>
      <c r="C52" s="2"/>
      <c r="D52" s="272"/>
      <c r="E52" s="510"/>
      <c r="F52" s="510"/>
      <c r="G52" s="510"/>
      <c r="H52" s="510"/>
      <c r="I52" s="510"/>
      <c r="J52" s="510"/>
      <c r="K52" s="510"/>
      <c r="L52" s="510"/>
      <c r="M52" s="510"/>
      <c r="N52" s="510"/>
      <c r="O52" s="510"/>
      <c r="P52" s="510"/>
      <c r="Q52" s="510"/>
      <c r="R52" s="510"/>
      <c r="S52" s="510"/>
      <c r="T52" s="510"/>
      <c r="U52" s="510"/>
      <c r="V52" s="510"/>
      <c r="W52" s="510"/>
      <c r="X52" s="510"/>
      <c r="Y52" s="510"/>
      <c r="Z52" s="510"/>
      <c r="AA52" s="2"/>
      <c r="AB52" s="2"/>
      <c r="AC52" s="2"/>
      <c r="AD52" s="2"/>
      <c r="AE52" s="2"/>
      <c r="AF52" s="2"/>
      <c r="AG52" s="2"/>
      <c r="AH52" s="2"/>
      <c r="AI52" s="2"/>
      <c r="AJ52" s="2"/>
      <c r="AK52" s="2"/>
      <c r="AL52" s="2"/>
      <c r="AM52" s="2"/>
      <c r="AN52" s="2"/>
    </row>
    <row r="53" spans="1:40" ht="15" customHeight="1">
      <c r="D53" s="6" t="s">
        <v>27</v>
      </c>
      <c r="AB53" s="2283">
        <f>ROUND(IF(ISERROR((AB48/AB49)),0,(AB48/AB49)),0)</f>
        <v>0</v>
      </c>
      <c r="AC53" s="2284"/>
      <c r="AD53" s="2284"/>
      <c r="AE53" s="2284"/>
      <c r="AF53" s="2285"/>
    </row>
    <row r="54" spans="1:40" ht="12.75" customHeight="1">
      <c r="D54" s="6" t="s">
        <v>621</v>
      </c>
      <c r="AB54" s="2283">
        <f>(AB53/10)</f>
        <v>0</v>
      </c>
      <c r="AC54" s="2284"/>
      <c r="AD54" s="2284"/>
      <c r="AE54" s="2284"/>
      <c r="AF54" s="2285"/>
    </row>
    <row r="55" spans="1:40" ht="13.2">
      <c r="D55" s="6" t="s">
        <v>379</v>
      </c>
      <c r="AB55" s="2280">
        <f>(IF((Y41&lt;AB54),Y41,AB54))</f>
        <v>0</v>
      </c>
      <c r="AC55" s="2281"/>
      <c r="AD55" s="2281"/>
      <c r="AE55" s="2281"/>
      <c r="AF55" s="2282"/>
    </row>
    <row r="56" spans="1:40" ht="13.2">
      <c r="D56" s="6" t="s">
        <v>118</v>
      </c>
      <c r="AB56" s="2283">
        <f>ROUND((10*AB55*AB49),0)</f>
        <v>0</v>
      </c>
      <c r="AC56" s="2284"/>
      <c r="AD56" s="2284"/>
      <c r="AE56" s="2284"/>
      <c r="AF56" s="2285"/>
    </row>
    <row r="57" spans="1:40" ht="12.75" customHeight="1">
      <c r="D57" s="6"/>
      <c r="E57" s="1"/>
      <c r="F57" s="1"/>
      <c r="G57" s="1"/>
      <c r="H57" s="1"/>
      <c r="I57" s="1"/>
      <c r="J57" s="1"/>
      <c r="K57" s="1"/>
      <c r="L57" s="1"/>
      <c r="M57" s="1"/>
      <c r="N57" s="1"/>
      <c r="O57" s="1"/>
      <c r="P57" s="1"/>
      <c r="Q57" s="1"/>
      <c r="R57" s="1"/>
      <c r="S57" s="1"/>
      <c r="T57" s="1"/>
      <c r="U57" s="1"/>
      <c r="V57" s="1"/>
      <c r="W57" s="1"/>
      <c r="X57" s="1"/>
      <c r="Y57" s="1"/>
      <c r="Z57" s="1"/>
      <c r="AA57" s="1"/>
      <c r="AB57" s="425"/>
      <c r="AC57" s="425"/>
      <c r="AD57" s="425"/>
      <c r="AE57" s="425"/>
      <c r="AF57" s="425"/>
      <c r="AG57" s="1"/>
      <c r="AH57" s="1"/>
      <c r="AI57" s="1"/>
      <c r="AJ57" s="1"/>
      <c r="AK57" s="1"/>
      <c r="AL57" s="1"/>
      <c r="AM57" s="1"/>
      <c r="AN57" s="1"/>
    </row>
    <row r="58" spans="1:40" ht="12.75" customHeight="1">
      <c r="D58" s="6" t="s">
        <v>117</v>
      </c>
      <c r="AB58" s="2266">
        <f>AB48-AB56</f>
        <v>24107565</v>
      </c>
      <c r="AC58" s="2266"/>
      <c r="AD58" s="2266"/>
      <c r="AE58" s="2266"/>
      <c r="AF58" s="2266"/>
    </row>
    <row r="59" spans="1:40" ht="12.75" customHeight="1">
      <c r="D59" s="6"/>
      <c r="F59" s="23" t="str">
        <f>IF(AB58&gt;0,"FUNDING GAP MUST NOT EXCEED ZERO UNLESS REQUESTING STATE CREDITS","")</f>
        <v>FUNDING GAP MUST NOT EXCEED ZERO UNLESS REQUESTING STATE CREDITS</v>
      </c>
      <c r="G59" s="23"/>
      <c r="N59" s="23"/>
      <c r="AB59" s="425"/>
      <c r="AC59" s="425"/>
      <c r="AD59" s="425"/>
      <c r="AE59" s="425"/>
      <c r="AF59" s="425"/>
    </row>
    <row r="60" spans="1:40" ht="12.75" customHeight="1" thickBot="1">
      <c r="A60" s="2290" t="s">
        <v>1980</v>
      </c>
      <c r="B60" s="2290"/>
      <c r="C60" s="2290"/>
      <c r="D60" s="2290"/>
      <c r="E60" s="2290"/>
      <c r="F60" s="2290"/>
      <c r="G60" s="2290"/>
      <c r="H60" s="2290"/>
      <c r="I60" s="2290"/>
      <c r="J60" s="2290"/>
      <c r="K60" s="2290"/>
      <c r="L60" s="2290"/>
      <c r="M60" s="2290"/>
      <c r="N60" s="2290"/>
      <c r="O60" s="2290"/>
      <c r="P60" s="2290"/>
      <c r="Q60" s="2290"/>
      <c r="R60" s="2290"/>
      <c r="S60" s="2290"/>
      <c r="T60" s="2290"/>
      <c r="U60" s="2290"/>
      <c r="V60" s="2290"/>
      <c r="W60" s="2290"/>
      <c r="X60" s="2290"/>
      <c r="Y60" s="2290"/>
      <c r="Z60" s="2290"/>
      <c r="AA60" s="2290"/>
      <c r="AB60" s="2290"/>
      <c r="AC60" s="2290"/>
      <c r="AD60" s="2290"/>
      <c r="AE60" s="2290"/>
      <c r="AF60" s="2290"/>
      <c r="AG60" s="2290"/>
      <c r="AH60" s="2290"/>
      <c r="AI60" s="2290"/>
      <c r="AJ60" s="2290"/>
      <c r="AK60" s="2290"/>
      <c r="AL60" s="2290"/>
      <c r="AM60" s="2290"/>
      <c r="AN60" s="2290"/>
    </row>
    <row r="61" spans="1:40" ht="13.65" customHeight="1" thickTop="1">
      <c r="A61" s="2292"/>
      <c r="B61" s="2292"/>
      <c r="C61" s="2292"/>
      <c r="D61" s="2292"/>
      <c r="E61" s="2292"/>
      <c r="F61" s="2292"/>
      <c r="G61" s="2292"/>
      <c r="H61" s="2292"/>
      <c r="I61" s="2292"/>
      <c r="J61" s="2292"/>
      <c r="K61" s="2292"/>
      <c r="L61" s="2292"/>
      <c r="M61" s="2292"/>
      <c r="N61" s="2292"/>
      <c r="O61" s="2292"/>
      <c r="P61" s="2292"/>
      <c r="Q61" s="2292"/>
      <c r="R61" s="2292"/>
      <c r="S61" s="2292"/>
      <c r="T61" s="2292"/>
      <c r="U61" s="2292"/>
      <c r="V61" s="2292"/>
      <c r="W61" s="2292"/>
      <c r="X61" s="2292"/>
      <c r="Y61" s="2292"/>
      <c r="Z61" s="2292"/>
      <c r="AA61" s="2292"/>
      <c r="AB61" s="2292"/>
      <c r="AC61" s="2292"/>
      <c r="AD61" s="2292"/>
      <c r="AE61" s="2292"/>
      <c r="AF61" s="2292"/>
      <c r="AG61" s="2292"/>
      <c r="AH61" s="2292"/>
      <c r="AI61" s="2292"/>
      <c r="AJ61" s="2292"/>
      <c r="AK61" s="2292"/>
      <c r="AL61" s="2292"/>
      <c r="AM61" s="2292"/>
      <c r="AN61" s="2292"/>
    </row>
    <row r="62" spans="1:40" ht="13.2">
      <c r="A62" s="358" t="s">
        <v>134</v>
      </c>
      <c r="B62" s="1"/>
      <c r="C62" s="358" t="s">
        <v>567</v>
      </c>
      <c r="D62" s="1"/>
      <c r="E62" s="1"/>
      <c r="F62" s="1"/>
      <c r="G62" s="1"/>
      <c r="H62" s="1"/>
      <c r="I62" s="1"/>
      <c r="J62" s="1"/>
      <c r="K62" s="1"/>
      <c r="L62" s="1"/>
      <c r="M62" s="1"/>
      <c r="N62" s="1"/>
      <c r="O62" s="1"/>
      <c r="P62" s="1"/>
      <c r="Q62" s="1"/>
      <c r="R62" s="1"/>
      <c r="S62" s="1"/>
      <c r="T62" s="1"/>
      <c r="U62" s="1"/>
      <c r="V62" s="1"/>
      <c r="W62" s="1"/>
      <c r="X62" s="1"/>
      <c r="Y62" s="2293" t="s">
        <v>331</v>
      </c>
      <c r="Z62" s="2293"/>
      <c r="AA62" s="2293"/>
      <c r="AB62" s="2293"/>
      <c r="AC62" s="2293"/>
      <c r="AD62" s="2293" t="s">
        <v>46</v>
      </c>
      <c r="AE62" s="2293"/>
      <c r="AF62" s="2293"/>
      <c r="AG62" s="2293"/>
      <c r="AH62" s="2293"/>
      <c r="AI62" s="1"/>
      <c r="AJ62" s="1"/>
      <c r="AK62" s="1"/>
      <c r="AL62" s="1"/>
      <c r="AM62" s="1"/>
      <c r="AN62" s="1"/>
    </row>
    <row r="63" spans="1:40" ht="13.2">
      <c r="C63" s="330"/>
      <c r="D63" s="1266" t="s">
        <v>1376</v>
      </c>
      <c r="E63" s="802"/>
      <c r="F63" s="802"/>
      <c r="G63" s="802"/>
      <c r="H63" s="802"/>
      <c r="I63" s="802"/>
      <c r="J63" s="802"/>
      <c r="K63" s="802"/>
      <c r="L63" s="22"/>
      <c r="M63" s="22"/>
      <c r="N63" s="22"/>
      <c r="O63" s="22"/>
      <c r="P63" s="22"/>
      <c r="Q63" s="22"/>
      <c r="R63" s="22"/>
      <c r="S63" s="22"/>
      <c r="T63" s="22"/>
      <c r="U63" s="22"/>
      <c r="V63" s="22"/>
      <c r="W63" s="22"/>
      <c r="X63" s="22"/>
      <c r="Y63" s="1993">
        <f>Y28</f>
        <v>0</v>
      </c>
      <c r="Z63" s="2276"/>
      <c r="AA63" s="2276"/>
      <c r="AB63" s="2276"/>
      <c r="AC63" s="2276"/>
      <c r="AD63" s="1993">
        <f>AI28</f>
        <v>0</v>
      </c>
      <c r="AE63" s="2276"/>
      <c r="AF63" s="2276"/>
      <c r="AG63" s="2276"/>
      <c r="AH63" s="2276"/>
    </row>
    <row r="64" spans="1:40" ht="15" customHeight="1">
      <c r="C64" s="6"/>
      <c r="E64" s="2291" t="s">
        <v>1427</v>
      </c>
      <c r="F64" s="2291"/>
      <c r="G64" s="2291"/>
      <c r="H64" s="2291"/>
      <c r="I64" s="2291"/>
      <c r="J64" s="2291"/>
      <c r="K64" s="2291"/>
      <c r="L64" s="2291"/>
      <c r="M64" s="2291"/>
      <c r="N64" s="2291"/>
      <c r="O64" s="2291"/>
      <c r="P64" s="2291"/>
      <c r="Q64" s="2291"/>
      <c r="R64" s="2291"/>
      <c r="S64" s="2291"/>
      <c r="T64" s="2291"/>
      <c r="U64" s="2291"/>
      <c r="V64" s="2291"/>
      <c r="W64" s="2291"/>
      <c r="X64" s="2291"/>
      <c r="Y64" s="2291"/>
      <c r="Z64" s="2291"/>
      <c r="AA64" s="2291"/>
      <c r="AB64" s="2291"/>
      <c r="AC64" s="2291"/>
      <c r="AD64" s="2291"/>
      <c r="AE64" s="2291"/>
      <c r="AF64" s="2291"/>
      <c r="AG64" s="2291"/>
      <c r="AH64" s="2291"/>
    </row>
    <row r="65" spans="1:40" ht="24.6" customHeight="1">
      <c r="C65" s="6"/>
      <c r="E65" s="2291"/>
      <c r="F65" s="2291"/>
      <c r="G65" s="2291"/>
      <c r="H65" s="2291"/>
      <c r="I65" s="2291"/>
      <c r="J65" s="2291"/>
      <c r="K65" s="2291"/>
      <c r="L65" s="2291"/>
      <c r="M65" s="2291"/>
      <c r="N65" s="2291"/>
      <c r="O65" s="2291"/>
      <c r="P65" s="2291"/>
      <c r="Q65" s="2291"/>
      <c r="R65" s="2291"/>
      <c r="S65" s="2291"/>
      <c r="T65" s="2291"/>
      <c r="U65" s="2291"/>
      <c r="V65" s="2291"/>
      <c r="W65" s="2291"/>
      <c r="X65" s="2291"/>
      <c r="Y65" s="2291"/>
      <c r="Z65" s="2291"/>
      <c r="AA65" s="2291"/>
      <c r="AB65" s="2291"/>
      <c r="AC65" s="2291"/>
      <c r="AD65" s="2291"/>
      <c r="AE65" s="2291"/>
      <c r="AF65" s="2291"/>
      <c r="AG65" s="2291"/>
      <c r="AH65" s="2291"/>
    </row>
    <row r="66" spans="1:40" ht="13.2">
      <c r="C66" s="6"/>
      <c r="D66" s="6" t="s">
        <v>219</v>
      </c>
      <c r="E66" s="1269"/>
      <c r="F66" s="1269"/>
      <c r="G66" s="1269"/>
      <c r="H66" s="1269"/>
      <c r="I66" s="1269"/>
      <c r="J66" s="1269"/>
      <c r="K66" s="1269"/>
      <c r="L66" s="1269"/>
      <c r="M66" s="1269"/>
      <c r="N66" s="1269"/>
      <c r="O66" s="1269"/>
      <c r="P66" s="1269"/>
      <c r="Q66" s="1269"/>
      <c r="R66" s="1269"/>
      <c r="S66" s="1269"/>
      <c r="T66" s="1269"/>
      <c r="U66" s="1269"/>
      <c r="V66" s="1269"/>
      <c r="W66" s="1269"/>
      <c r="X66" s="1269"/>
      <c r="Y66" s="2272">
        <v>0.3</v>
      </c>
      <c r="Z66" s="2272"/>
      <c r="AA66" s="2272"/>
      <c r="AB66" s="2272"/>
      <c r="AC66" s="2272"/>
      <c r="AD66" s="2272">
        <v>0.13</v>
      </c>
      <c r="AE66" s="2272"/>
      <c r="AF66" s="2272"/>
      <c r="AG66" s="2272"/>
      <c r="AH66" s="2272"/>
    </row>
    <row r="67" spans="1:40" ht="13.2">
      <c r="C67" s="6"/>
      <c r="D67" s="6" t="s">
        <v>1045</v>
      </c>
      <c r="Y67" s="1993">
        <f>ROUND(Y63*Y66,0)</f>
        <v>0</v>
      </c>
      <c r="Z67" s="2276"/>
      <c r="AA67" s="2276"/>
      <c r="AB67" s="2276"/>
      <c r="AC67" s="2276"/>
      <c r="AD67" s="1993" t="str">
        <f>IF(OR(Application!D211="At-Risk",Application!D211="At-Risk/Located in Rural Census Tract",Application!D214="At-Risk"),ROUND(AD63*AD66,0),"$0")</f>
        <v>$0</v>
      </c>
      <c r="AE67" s="2277"/>
      <c r="AF67" s="2277"/>
      <c r="AG67" s="2277"/>
      <c r="AH67" s="2277"/>
    </row>
    <row r="68" spans="1:40" ht="13.2">
      <c r="C68" s="6"/>
      <c r="E68" s="6"/>
      <c r="AB68" s="5"/>
      <c r="AC68" s="5"/>
      <c r="AD68" s="5"/>
      <c r="AE68" s="5"/>
      <c r="AF68" s="5"/>
    </row>
    <row r="69" spans="1:40" ht="13.2">
      <c r="A69" s="6" t="s">
        <v>135</v>
      </c>
      <c r="C69" s="6" t="s">
        <v>283</v>
      </c>
    </row>
    <row r="70" spans="1:40" ht="13.2">
      <c r="A70" s="330"/>
      <c r="B70" s="2"/>
      <c r="C70" s="330"/>
      <c r="D70" s="330" t="s">
        <v>959</v>
      </c>
      <c r="E70" s="2"/>
      <c r="F70" s="2"/>
      <c r="G70" s="2"/>
      <c r="H70" s="2"/>
      <c r="I70" s="2"/>
      <c r="J70" s="2"/>
      <c r="K70" s="2"/>
      <c r="L70" s="2"/>
      <c r="M70" s="2"/>
      <c r="N70" s="2"/>
      <c r="O70" s="2"/>
      <c r="P70" s="2"/>
      <c r="Q70" s="2"/>
      <c r="R70" s="2"/>
      <c r="S70" s="2"/>
      <c r="T70" s="2"/>
      <c r="U70" s="2"/>
      <c r="V70" s="2"/>
      <c r="W70" s="2"/>
      <c r="X70" s="2"/>
      <c r="Y70" s="2"/>
      <c r="Z70" s="2"/>
      <c r="AA70" s="2"/>
      <c r="AB70" s="2273"/>
      <c r="AC70" s="2274"/>
      <c r="AD70" s="2274"/>
      <c r="AE70" s="2274"/>
      <c r="AF70" s="2275"/>
      <c r="AG70" s="2"/>
      <c r="AH70" s="2"/>
      <c r="AI70" s="2"/>
      <c r="AJ70" s="2"/>
      <c r="AK70" s="2"/>
      <c r="AL70" s="2"/>
      <c r="AM70" s="2"/>
      <c r="AN70" s="2"/>
    </row>
    <row r="71" spans="1:40" ht="12.75" customHeight="1">
      <c r="A71" s="330"/>
      <c r="B71" s="2"/>
      <c r="C71" s="330"/>
      <c r="D71" s="330"/>
      <c r="E71" s="2278" t="s">
        <v>1975</v>
      </c>
      <c r="F71" s="2278"/>
      <c r="G71" s="2278"/>
      <c r="H71" s="2278"/>
      <c r="I71" s="2278"/>
      <c r="J71" s="2278"/>
      <c r="K71" s="2278"/>
      <c r="L71" s="2278"/>
      <c r="M71" s="2278"/>
      <c r="N71" s="2278"/>
      <c r="O71" s="2278"/>
      <c r="P71" s="2278"/>
      <c r="Q71" s="2278"/>
      <c r="R71" s="2278"/>
      <c r="S71" s="2278"/>
      <c r="T71" s="2278"/>
      <c r="U71" s="2278"/>
      <c r="V71" s="2278"/>
      <c r="W71" s="2278"/>
      <c r="X71" s="2278"/>
      <c r="Y71" s="2278"/>
      <c r="Z71" s="2278"/>
      <c r="AA71" s="803"/>
      <c r="AB71" s="803"/>
      <c r="AC71" s="803"/>
      <c r="AG71" s="2"/>
      <c r="AH71" s="2"/>
      <c r="AI71" s="2"/>
      <c r="AJ71" s="2"/>
      <c r="AK71" s="2"/>
      <c r="AL71" s="2"/>
      <c r="AM71" s="2"/>
      <c r="AN71" s="2"/>
    </row>
    <row r="72" spans="1:40" ht="12.75" customHeight="1">
      <c r="A72" s="330"/>
      <c r="B72" s="2"/>
      <c r="C72" s="330"/>
      <c r="D72" s="330"/>
      <c r="E72" s="2278"/>
      <c r="F72" s="2278"/>
      <c r="G72" s="2278"/>
      <c r="H72" s="2278"/>
      <c r="I72" s="2278"/>
      <c r="J72" s="2278"/>
      <c r="K72" s="2278"/>
      <c r="L72" s="2278"/>
      <c r="M72" s="2278"/>
      <c r="N72" s="2278"/>
      <c r="O72" s="2278"/>
      <c r="P72" s="2278"/>
      <c r="Q72" s="2278"/>
      <c r="R72" s="2278"/>
      <c r="S72" s="2278"/>
      <c r="T72" s="2278"/>
      <c r="U72" s="2278"/>
      <c r="V72" s="2278"/>
      <c r="W72" s="2278"/>
      <c r="X72" s="2278"/>
      <c r="Y72" s="2278"/>
      <c r="Z72" s="2278"/>
      <c r="AA72" s="803"/>
      <c r="AB72" s="803"/>
      <c r="AC72" s="803"/>
      <c r="AG72" s="2"/>
      <c r="AH72" s="2"/>
      <c r="AI72" s="2"/>
      <c r="AJ72" s="2"/>
      <c r="AK72" s="2"/>
      <c r="AL72" s="2"/>
      <c r="AM72" s="2"/>
      <c r="AN72" s="2"/>
    </row>
    <row r="73" spans="1:40" ht="12" customHeight="1">
      <c r="A73" s="330"/>
      <c r="B73" s="2"/>
      <c r="C73" s="330"/>
      <c r="D73" s="330"/>
      <c r="E73" s="2278"/>
      <c r="F73" s="2278"/>
      <c r="G73" s="2278"/>
      <c r="H73" s="2278"/>
      <c r="I73" s="2278"/>
      <c r="J73" s="2278"/>
      <c r="K73" s="2278"/>
      <c r="L73" s="2278"/>
      <c r="M73" s="2278"/>
      <c r="N73" s="2278"/>
      <c r="O73" s="2278"/>
      <c r="P73" s="2278"/>
      <c r="Q73" s="2278"/>
      <c r="R73" s="2278"/>
      <c r="S73" s="2278"/>
      <c r="T73" s="2278"/>
      <c r="U73" s="2278"/>
      <c r="V73" s="2278"/>
      <c r="W73" s="2278"/>
      <c r="X73" s="2278"/>
      <c r="Y73" s="2278"/>
      <c r="Z73" s="2278"/>
      <c r="AA73" s="803"/>
      <c r="AB73" s="803"/>
      <c r="AC73" s="803"/>
      <c r="AD73" s="426"/>
      <c r="AE73" s="426"/>
      <c r="AF73" s="426"/>
      <c r="AG73" s="2"/>
      <c r="AH73" s="2"/>
      <c r="AI73" s="2"/>
      <c r="AJ73" s="2"/>
      <c r="AK73" s="2"/>
      <c r="AL73" s="2"/>
      <c r="AM73" s="2"/>
      <c r="AN73" s="2"/>
    </row>
    <row r="74" spans="1:40" ht="12" customHeight="1">
      <c r="A74" s="330"/>
      <c r="B74" s="2"/>
      <c r="C74" s="330"/>
      <c r="D74" s="330"/>
      <c r="E74" s="517"/>
      <c r="F74" s="517"/>
      <c r="G74" s="517"/>
      <c r="H74" s="517"/>
      <c r="I74" s="517"/>
      <c r="J74" s="517"/>
      <c r="K74" s="517"/>
      <c r="L74" s="517"/>
      <c r="M74" s="517"/>
      <c r="N74" s="517"/>
      <c r="O74" s="517"/>
      <c r="P74" s="517"/>
      <c r="Q74" s="517"/>
      <c r="R74" s="517"/>
      <c r="S74" s="517"/>
      <c r="T74" s="517"/>
      <c r="U74" s="517"/>
      <c r="V74" s="517"/>
      <c r="W74" s="517"/>
      <c r="X74" s="517"/>
      <c r="Y74" s="517"/>
      <c r="Z74" s="517"/>
      <c r="AA74" s="1267"/>
      <c r="AG74" s="2"/>
      <c r="AH74" s="2"/>
      <c r="AI74" s="2"/>
      <c r="AJ74" s="2"/>
      <c r="AK74" s="2"/>
      <c r="AL74" s="2"/>
      <c r="AM74" s="2"/>
      <c r="AN74" s="2"/>
    </row>
    <row r="75" spans="1:40" ht="12" customHeight="1">
      <c r="C75" s="6"/>
      <c r="D75" s="6" t="s">
        <v>115</v>
      </c>
      <c r="AB75" s="2271">
        <f>ROUND(IF(ISERROR((AB58/AB70)),0,(AB58/AB70)),0)</f>
        <v>0</v>
      </c>
      <c r="AC75" s="2271"/>
      <c r="AD75" s="2271"/>
      <c r="AE75" s="2271"/>
      <c r="AF75" s="2271"/>
    </row>
    <row r="76" spans="1:40" ht="12.75" customHeight="1">
      <c r="C76" s="6"/>
      <c r="D76" s="6" t="s">
        <v>116</v>
      </c>
      <c r="AB76" s="2268">
        <f>IF((Y67+AD67&lt;AB75),Y67+AD67,AB75)</f>
        <v>0</v>
      </c>
      <c r="AC76" s="2269"/>
      <c r="AD76" s="2269"/>
      <c r="AE76" s="2269"/>
      <c r="AF76" s="2270"/>
    </row>
    <row r="77" spans="1:40" ht="12.75" customHeight="1">
      <c r="C77" s="6"/>
      <c r="D77" s="6" t="s">
        <v>1046</v>
      </c>
      <c r="AB77" s="2267">
        <f>AB76*AB70</f>
        <v>0</v>
      </c>
      <c r="AC77" s="2267"/>
      <c r="AD77" s="2267"/>
      <c r="AE77" s="2267"/>
      <c r="AF77" s="2267"/>
    </row>
    <row r="78" spans="1:40" ht="12.75" customHeight="1">
      <c r="C78" s="6"/>
      <c r="D78" s="6"/>
      <c r="AB78" s="934"/>
      <c r="AC78" s="934"/>
      <c r="AD78" s="934"/>
      <c r="AE78" s="934"/>
      <c r="AF78" s="934"/>
    </row>
    <row r="79" spans="1:40" ht="12.75" customHeight="1">
      <c r="A79" s="1"/>
      <c r="B79" s="1"/>
      <c r="C79" s="1"/>
      <c r="D79" s="6" t="s">
        <v>117</v>
      </c>
      <c r="AB79" s="2266">
        <f>AB48-(AB56+AB77)</f>
        <v>24107565</v>
      </c>
      <c r="AC79" s="2266"/>
      <c r="AD79" s="2266"/>
      <c r="AE79" s="2266"/>
      <c r="AF79" s="2266"/>
      <c r="AG79" s="1"/>
      <c r="AH79" s="1"/>
      <c r="AI79" s="1"/>
      <c r="AJ79" s="1"/>
      <c r="AK79" s="1"/>
      <c r="AL79" s="1"/>
      <c r="AM79" s="1"/>
      <c r="AN79" s="1"/>
    </row>
    <row r="80" spans="1:40" ht="12.75" customHeight="1">
      <c r="A80" s="1"/>
      <c r="B80" s="1"/>
      <c r="C80" s="1"/>
      <c r="D80" s="1"/>
      <c r="F80" s="23"/>
      <c r="J80" s="23" t="str">
        <f>IF(AB79&gt;0,"FUNDING GAP MUST NOT EXCEED ZERO","")</f>
        <v>FUNDING GAP MUST NOT EXCEED ZERO</v>
      </c>
      <c r="AB80" s="1"/>
      <c r="AC80" s="1"/>
      <c r="AD80" s="1"/>
      <c r="AE80" s="1"/>
      <c r="AF80" s="1"/>
      <c r="AG80" s="1"/>
      <c r="AH80" s="1"/>
      <c r="AI80" s="1"/>
      <c r="AJ80" s="1"/>
      <c r="AK80" s="1"/>
      <c r="AL80" s="1"/>
      <c r="AM80" s="1"/>
      <c r="AN80" s="1"/>
    </row>
    <row r="81" spans="1:40" ht="12.75" customHeight="1">
      <c r="A81" s="1"/>
      <c r="B81" s="1"/>
      <c r="C81" s="1"/>
      <c r="D81" s="431"/>
      <c r="AB81" s="1"/>
      <c r="AC81" s="1"/>
      <c r="AD81" s="1"/>
      <c r="AE81" s="1"/>
      <c r="AF81" s="1"/>
      <c r="AG81" s="1"/>
      <c r="AH81" s="1"/>
      <c r="AI81" s="1"/>
      <c r="AJ81" s="1"/>
      <c r="AK81" s="1"/>
      <c r="AL81" s="1"/>
      <c r="AM81" s="1"/>
      <c r="AN81" s="1"/>
    </row>
  </sheetData>
  <sheetProtection algorithmName="SHA-512" hashValue="H5ToMcqO5cBou6tZMe0q8y6QBbz+AHbamJCi2nye7Ci8G4tn8JGJxwnIFiyccHe1TjkyOol7GouM0/h2bAUM9w==" saltValue="MhVX9D9OSf+TFhmjGOsEbQ=="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79:AF79 AB58:AF59">
    <cfRule type="cellIs" dxfId="0" priority="1" stopIfTrue="1" operator="greaterThan">
      <formula>0</formula>
    </cfRule>
  </conditionalFormatting>
  <dataValidations count="3">
    <dataValidation type="whole" operator="greaterThanOrEqual" allowBlank="1" showInputMessage="1" showErrorMessage="1" sqref="T13:AM19 T21:AM21">
      <formula1>0</formula1>
    </dataValidation>
    <dataValidation type="decimal" allowBlank="1" showInputMessage="1" showErrorMessage="1" errorTitle="Federal Tax Credit Factor" error="Federal Tax Credit Factor must be within stated range." sqref="AB49:AF49">
      <formula1>0.85</formula1>
      <formula2>1.25</formula2>
    </dataValidation>
    <dataValidation type="decimal" allowBlank="1" showInputMessage="1" showErrorMessage="1" errorTitle="State Tax Credit Factor" error="State Tax Credit Factor must be within stated range." sqref="AB70:AF7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XFC107"/>
  <sheetViews>
    <sheetView showGridLines="0" showZeros="0" view="pageBreakPreview" zoomScaleSheetLayoutView="100" workbookViewId="0">
      <selection activeCell="B5" sqref="B5"/>
    </sheetView>
  </sheetViews>
  <sheetFormatPr defaultColWidth="0" defaultRowHeight="12" customHeight="1" zeroHeight="1"/>
  <cols>
    <col min="1" max="1" width="35.44140625" style="527" customWidth="1"/>
    <col min="2" max="2" width="14.44140625" style="565" customWidth="1"/>
    <col min="3" max="4" width="14.44140625" style="528" customWidth="1"/>
    <col min="5" max="5" width="14.44140625" style="565" customWidth="1"/>
    <col min="6" max="6" width="50.44140625" style="528" customWidth="1"/>
    <col min="7" max="7" width="9.109375" style="528" customWidth="1"/>
    <col min="8" max="8" width="0.44140625" style="528" hidden="1" customWidth="1"/>
    <col min="9" max="16383" width="11.44140625" style="528" hidden="1"/>
    <col min="16384" max="16384" width="0.44140625" style="528" customWidth="1"/>
  </cols>
  <sheetData>
    <row r="1" spans="1:7" ht="18" customHeight="1">
      <c r="A1" s="1124" t="s">
        <v>1362</v>
      </c>
      <c r="G1" s="899"/>
    </row>
    <row r="2" spans="1:7" ht="13.2">
      <c r="A2" s="399" t="s">
        <v>1056</v>
      </c>
      <c r="B2" s="352"/>
      <c r="C2" s="518"/>
      <c r="D2" s="518"/>
      <c r="E2" s="352"/>
      <c r="F2" s="519"/>
      <c r="G2" s="519"/>
    </row>
    <row r="3" spans="1:7" s="900" customFormat="1" ht="80.25" customHeight="1">
      <c r="A3" s="530"/>
      <c r="B3" s="520" t="s">
        <v>1055</v>
      </c>
      <c r="C3" s="520" t="s">
        <v>1304</v>
      </c>
      <c r="D3" s="520" t="s">
        <v>1058</v>
      </c>
      <c r="E3" s="520" t="s">
        <v>1059</v>
      </c>
      <c r="F3" s="514" t="s">
        <v>1057</v>
      </c>
      <c r="G3" s="520"/>
    </row>
    <row r="4" spans="1:7" s="902" customFormat="1" ht="13.2">
      <c r="A4" s="1493" t="s">
        <v>381</v>
      </c>
      <c r="B4" s="521"/>
      <c r="C4" s="521"/>
      <c r="D4" s="521"/>
      <c r="E4" s="521"/>
      <c r="F4" s="521"/>
      <c r="G4" s="521"/>
    </row>
    <row r="5" spans="1:7" s="902" customFormat="1" ht="13.2">
      <c r="A5" s="1494" t="s">
        <v>1060</v>
      </c>
      <c r="B5" s="523">
        <f>'Sources and Uses Budget'!C4</f>
        <v>95100</v>
      </c>
      <c r="C5" s="523">
        <f>'Sources and Uses Budget'!C4</f>
        <v>95100</v>
      </c>
      <c r="D5" s="523">
        <f>'Sources and Uses Budget'!C4</f>
        <v>95100</v>
      </c>
      <c r="E5" s="525">
        <f>C5-B5</f>
        <v>0</v>
      </c>
      <c r="F5" s="524"/>
      <c r="G5" s="524"/>
    </row>
    <row r="6" spans="1:7" s="902" customFormat="1" ht="13.2">
      <c r="A6" s="1494" t="s">
        <v>1061</v>
      </c>
      <c r="B6" s="523">
        <f>'Sources and Uses Budget'!C5</f>
        <v>0</v>
      </c>
      <c r="C6" s="523">
        <f>'Sources and Uses Budget'!C5</f>
        <v>0</v>
      </c>
      <c r="D6" s="523">
        <f>'Sources and Uses Budget'!C5</f>
        <v>0</v>
      </c>
      <c r="E6" s="525">
        <f t="shared" ref="E6:E73" si="0">C6-B6</f>
        <v>0</v>
      </c>
      <c r="F6" s="524"/>
      <c r="G6" s="524"/>
    </row>
    <row r="7" spans="1:7" s="902" customFormat="1" ht="13.2">
      <c r="A7" s="1494" t="s">
        <v>382</v>
      </c>
      <c r="B7" s="523">
        <f>'Sources and Uses Budget'!C6</f>
        <v>9877</v>
      </c>
      <c r="C7" s="523">
        <f>'Sources and Uses Budget'!C6</f>
        <v>9877</v>
      </c>
      <c r="D7" s="523">
        <f>'Sources and Uses Budget'!C6</f>
        <v>9877</v>
      </c>
      <c r="E7" s="525">
        <f t="shared" si="0"/>
        <v>0</v>
      </c>
      <c r="F7" s="524"/>
      <c r="G7" s="524"/>
    </row>
    <row r="8" spans="1:7" s="902" customFormat="1" ht="13.2">
      <c r="A8" s="1494" t="s">
        <v>310</v>
      </c>
      <c r="B8" s="523">
        <f>'Sources and Uses Budget'!C7</f>
        <v>0</v>
      </c>
      <c r="C8" s="523">
        <f>'Sources and Uses Budget'!C7</f>
        <v>0</v>
      </c>
      <c r="D8" s="523">
        <f>'Sources and Uses Budget'!C7</f>
        <v>0</v>
      </c>
      <c r="E8" s="525">
        <f t="shared" si="0"/>
        <v>0</v>
      </c>
      <c r="F8" s="524"/>
      <c r="G8" s="524"/>
    </row>
    <row r="9" spans="1:7" s="902" customFormat="1" ht="13.2">
      <c r="A9" s="1495" t="s">
        <v>1062</v>
      </c>
      <c r="B9" s="525">
        <f>SUM(B5:B8)</f>
        <v>104977</v>
      </c>
      <c r="C9" s="525">
        <f>SUM(C5:C8)</f>
        <v>104977</v>
      </c>
      <c r="D9" s="525">
        <f>SUM(D5:D8)</f>
        <v>104977</v>
      </c>
      <c r="E9" s="525">
        <f t="shared" si="0"/>
        <v>0</v>
      </c>
      <c r="F9" s="524"/>
      <c r="G9" s="524"/>
    </row>
    <row r="10" spans="1:7" s="902" customFormat="1" ht="13.2">
      <c r="A10" s="1494" t="s">
        <v>645</v>
      </c>
      <c r="B10" s="523">
        <f>'Sources and Uses Budget'!C9</f>
        <v>560760</v>
      </c>
      <c r="C10" s="523">
        <f>'Sources and Uses Budget'!C9</f>
        <v>560760</v>
      </c>
      <c r="D10" s="523">
        <f>'Sources and Uses Budget'!C9</f>
        <v>560760</v>
      </c>
      <c r="E10" s="525">
        <f t="shared" si="0"/>
        <v>0</v>
      </c>
      <c r="F10" s="524"/>
      <c r="G10" s="524"/>
    </row>
    <row r="11" spans="1:7" s="902" customFormat="1" ht="13.2">
      <c r="A11" s="1494" t="s">
        <v>1063</v>
      </c>
      <c r="B11" s="523">
        <f>'Sources and Uses Budget'!C10</f>
        <v>200000</v>
      </c>
      <c r="C11" s="523">
        <f>'Sources and Uses Budget'!C10</f>
        <v>200000</v>
      </c>
      <c r="D11" s="523">
        <f>'Sources and Uses Budget'!C10</f>
        <v>200000</v>
      </c>
      <c r="E11" s="525">
        <f t="shared" si="0"/>
        <v>0</v>
      </c>
      <c r="F11" s="524"/>
      <c r="G11" s="524"/>
    </row>
    <row r="12" spans="1:7" s="902" customFormat="1" ht="13.2">
      <c r="A12" s="1495" t="s">
        <v>646</v>
      </c>
      <c r="B12" s="525">
        <f>SUM(B10:B11)</f>
        <v>760760</v>
      </c>
      <c r="C12" s="525">
        <f>SUM(C10:C11)</f>
        <v>760760</v>
      </c>
      <c r="D12" s="525">
        <f>SUM(D10:D11)</f>
        <v>760760</v>
      </c>
      <c r="E12" s="525">
        <f t="shared" si="0"/>
        <v>0</v>
      </c>
      <c r="F12" s="524"/>
      <c r="G12" s="524"/>
    </row>
    <row r="13" spans="1:7" s="902" customFormat="1" ht="13.2">
      <c r="A13" s="1495" t="s">
        <v>778</v>
      </c>
      <c r="B13" s="525">
        <f>SUM(B9+B12)</f>
        <v>865737</v>
      </c>
      <c r="C13" s="525">
        <f>SUM(C9+C12)</f>
        <v>865737</v>
      </c>
      <c r="D13" s="525">
        <f>SUM(D9+D12)</f>
        <v>865737</v>
      </c>
      <c r="E13" s="525">
        <f t="shared" si="0"/>
        <v>0</v>
      </c>
      <c r="F13" s="524"/>
      <c r="G13" s="524"/>
    </row>
    <row r="14" spans="1:7" s="902" customFormat="1" ht="13.2">
      <c r="A14" s="1496" t="s">
        <v>1229</v>
      </c>
      <c r="B14" s="523">
        <f>'Sources and Uses Budget'!C13</f>
        <v>0</v>
      </c>
      <c r="C14" s="523">
        <f>'Sources and Uses Budget'!C13</f>
        <v>0</v>
      </c>
      <c r="D14" s="523">
        <f>'Sources and Uses Budget'!C13</f>
        <v>0</v>
      </c>
      <c r="E14" s="525">
        <f t="shared" si="0"/>
        <v>0</v>
      </c>
      <c r="F14" s="524"/>
      <c r="G14" s="524"/>
    </row>
    <row r="15" spans="1:7" s="902" customFormat="1" ht="22.8">
      <c r="A15" s="1497" t="s">
        <v>1264</v>
      </c>
      <c r="B15" s="523">
        <f>'Sources and Uses Budget'!C14</f>
        <v>0</v>
      </c>
      <c r="C15" s="523">
        <f>'Sources and Uses Budget'!C14</f>
        <v>0</v>
      </c>
      <c r="D15" s="523">
        <f>'Sources and Uses Budget'!C14</f>
        <v>0</v>
      </c>
      <c r="E15" s="525">
        <f t="shared" si="0"/>
        <v>0</v>
      </c>
      <c r="F15" s="524"/>
      <c r="G15" s="524"/>
    </row>
    <row r="16" spans="1:7" s="902" customFormat="1" ht="13.2">
      <c r="A16" s="1497" t="s">
        <v>1898</v>
      </c>
      <c r="B16" s="523">
        <f>'Sources and Uses Budget'!C15</f>
        <v>0</v>
      </c>
      <c r="C16" s="523">
        <f>'Sources and Uses Budget'!C15</f>
        <v>0</v>
      </c>
      <c r="D16" s="523">
        <f>'Sources and Uses Budget'!C15</f>
        <v>0</v>
      </c>
      <c r="E16" s="525">
        <f t="shared" si="0"/>
        <v>0</v>
      </c>
      <c r="F16" s="524"/>
      <c r="G16" s="524"/>
    </row>
    <row r="17" spans="1:7" s="902" customFormat="1" ht="13.2">
      <c r="A17" s="1493" t="s">
        <v>1013</v>
      </c>
      <c r="B17" s="521"/>
      <c r="C17" s="521"/>
      <c r="D17" s="521"/>
      <c r="E17" s="521"/>
      <c r="F17" s="521"/>
      <c r="G17" s="521"/>
    </row>
    <row r="18" spans="1:7" s="902" customFormat="1" ht="13.2">
      <c r="A18" s="369" t="s">
        <v>1014</v>
      </c>
      <c r="B18" s="523">
        <f>'Sources and Uses Budget'!C17</f>
        <v>0</v>
      </c>
      <c r="C18" s="523">
        <f>'Sources and Uses Budget'!C17</f>
        <v>0</v>
      </c>
      <c r="D18" s="523">
        <f>'Sources and Uses Budget'!C17</f>
        <v>0</v>
      </c>
      <c r="E18" s="525">
        <f t="shared" si="0"/>
        <v>0</v>
      </c>
      <c r="F18" s="524"/>
      <c r="G18" s="524"/>
    </row>
    <row r="19" spans="1:7" s="902" customFormat="1" ht="13.2">
      <c r="A19" s="369" t="s">
        <v>1015</v>
      </c>
      <c r="B19" s="523">
        <f>'Sources and Uses Budget'!C18</f>
        <v>0</v>
      </c>
      <c r="C19" s="523">
        <f>'Sources and Uses Budget'!C18</f>
        <v>0</v>
      </c>
      <c r="D19" s="523">
        <f>'Sources and Uses Budget'!C18</f>
        <v>0</v>
      </c>
      <c r="E19" s="525">
        <f t="shared" ref="E19:E26" si="1">C19-B19</f>
        <v>0</v>
      </c>
      <c r="F19" s="524"/>
      <c r="G19" s="524"/>
    </row>
    <row r="20" spans="1:7" s="902" customFormat="1" ht="13.2">
      <c r="A20" s="369" t="s">
        <v>1016</v>
      </c>
      <c r="B20" s="523">
        <f>'Sources and Uses Budget'!C19</f>
        <v>0</v>
      </c>
      <c r="C20" s="523">
        <f>'Sources and Uses Budget'!C19</f>
        <v>0</v>
      </c>
      <c r="D20" s="523">
        <f>'Sources and Uses Budget'!C19</f>
        <v>0</v>
      </c>
      <c r="E20" s="525">
        <f t="shared" si="1"/>
        <v>0</v>
      </c>
      <c r="F20" s="524"/>
      <c r="G20" s="524"/>
    </row>
    <row r="21" spans="1:7" s="902" customFormat="1" ht="13.2">
      <c r="A21" s="369" t="s">
        <v>1017</v>
      </c>
      <c r="B21" s="523">
        <f>'Sources and Uses Budget'!C20</f>
        <v>0</v>
      </c>
      <c r="C21" s="523">
        <f>'Sources and Uses Budget'!C20</f>
        <v>0</v>
      </c>
      <c r="D21" s="523">
        <f>'Sources and Uses Budget'!C20</f>
        <v>0</v>
      </c>
      <c r="E21" s="525">
        <f t="shared" si="1"/>
        <v>0</v>
      </c>
      <c r="F21" s="524"/>
      <c r="G21" s="524"/>
    </row>
    <row r="22" spans="1:7" s="902" customFormat="1" ht="13.2">
      <c r="A22" s="369" t="s">
        <v>1018</v>
      </c>
      <c r="B22" s="523">
        <f>'Sources and Uses Budget'!C21</f>
        <v>0</v>
      </c>
      <c r="C22" s="523">
        <f>'Sources and Uses Budget'!C21</f>
        <v>0</v>
      </c>
      <c r="D22" s="523">
        <f>'Sources and Uses Budget'!C21</f>
        <v>0</v>
      </c>
      <c r="E22" s="525">
        <f t="shared" si="1"/>
        <v>0</v>
      </c>
      <c r="F22" s="524"/>
      <c r="G22" s="524"/>
    </row>
    <row r="23" spans="1:7" s="902" customFormat="1" ht="13.2">
      <c r="A23" s="369" t="s">
        <v>1019</v>
      </c>
      <c r="B23" s="523">
        <f>'Sources and Uses Budget'!C22</f>
        <v>0</v>
      </c>
      <c r="C23" s="523">
        <f>'Sources and Uses Budget'!C22</f>
        <v>0</v>
      </c>
      <c r="D23" s="523">
        <f>'Sources and Uses Budget'!C22</f>
        <v>0</v>
      </c>
      <c r="E23" s="525">
        <f t="shared" si="1"/>
        <v>0</v>
      </c>
      <c r="F23" s="524"/>
      <c r="G23" s="524"/>
    </row>
    <row r="24" spans="1:7" s="902" customFormat="1" ht="13.2">
      <c r="A24" s="369" t="s">
        <v>1020</v>
      </c>
      <c r="B24" s="523">
        <f>'Sources and Uses Budget'!C23</f>
        <v>0</v>
      </c>
      <c r="C24" s="523">
        <f>'Sources and Uses Budget'!C23</f>
        <v>0</v>
      </c>
      <c r="D24" s="523">
        <f>'Sources and Uses Budget'!C23</f>
        <v>0</v>
      </c>
      <c r="E24" s="525">
        <f t="shared" si="1"/>
        <v>0</v>
      </c>
      <c r="F24" s="524"/>
      <c r="G24" s="524"/>
    </row>
    <row r="25" spans="1:7" s="902" customFormat="1" ht="13.2">
      <c r="A25" s="380" t="s">
        <v>2247</v>
      </c>
      <c r="B25" s="523">
        <f>'Sources and Uses Budget'!C24</f>
        <v>0</v>
      </c>
      <c r="C25" s="523">
        <f>'Sources and Uses Budget'!C24</f>
        <v>0</v>
      </c>
      <c r="D25" s="523">
        <f>'Sources and Uses Budget'!C24</f>
        <v>0</v>
      </c>
      <c r="E25" s="525">
        <f t="shared" si="1"/>
        <v>0</v>
      </c>
      <c r="F25" s="524"/>
      <c r="G25" s="524"/>
    </row>
    <row r="26" spans="1:7" s="902" customFormat="1" ht="13.2">
      <c r="A26" s="380" t="s">
        <v>592</v>
      </c>
      <c r="B26" s="523">
        <f>'Sources and Uses Budget'!C25</f>
        <v>0</v>
      </c>
      <c r="C26" s="523">
        <f>'Sources and Uses Budget'!C25</f>
        <v>0</v>
      </c>
      <c r="D26" s="523">
        <f>'Sources and Uses Budget'!C25</f>
        <v>0</v>
      </c>
      <c r="E26" s="525">
        <f t="shared" si="1"/>
        <v>0</v>
      </c>
      <c r="F26" s="524"/>
      <c r="G26" s="524"/>
    </row>
    <row r="27" spans="1:7" s="902" customFormat="1" ht="13.2">
      <c r="A27" s="526" t="s">
        <v>248</v>
      </c>
      <c r="B27" s="1505">
        <f>'Sources and Uses Budget'!C26</f>
        <v>0</v>
      </c>
      <c r="C27" s="1505">
        <f>'Sources and Uses Budget'!C26</f>
        <v>0</v>
      </c>
      <c r="D27" s="1505">
        <f>'Sources and Uses Budget'!C26</f>
        <v>0</v>
      </c>
      <c r="E27" s="525">
        <f t="shared" ref="E27:E28" si="2">C27-B27</f>
        <v>0</v>
      </c>
      <c r="F27" s="524"/>
      <c r="G27" s="524"/>
    </row>
    <row r="28" spans="1:7" s="902" customFormat="1" ht="13.2">
      <c r="A28" s="1498" t="s">
        <v>1021</v>
      </c>
      <c r="B28" s="523">
        <f>'Sources and Uses Budget'!C27</f>
        <v>39509</v>
      </c>
      <c r="C28" s="523">
        <f>'Sources and Uses Budget'!C27</f>
        <v>39509</v>
      </c>
      <c r="D28" s="523">
        <f>'Sources and Uses Budget'!C27</f>
        <v>39509</v>
      </c>
      <c r="E28" s="525">
        <f t="shared" si="2"/>
        <v>0</v>
      </c>
      <c r="F28" s="524"/>
      <c r="G28" s="524"/>
    </row>
    <row r="29" spans="1:7" s="902" customFormat="1" ht="13.2">
      <c r="A29" s="1493" t="s">
        <v>1022</v>
      </c>
      <c r="B29" s="521"/>
      <c r="C29" s="521"/>
      <c r="D29" s="521"/>
      <c r="E29" s="521"/>
      <c r="F29" s="521"/>
      <c r="G29" s="521"/>
    </row>
    <row r="30" spans="1:7" s="902" customFormat="1" ht="13.2">
      <c r="A30" s="369" t="s">
        <v>1014</v>
      </c>
      <c r="B30" s="523">
        <f>'Sources and Uses Budget'!C29</f>
        <v>0</v>
      </c>
      <c r="C30" s="523">
        <f>'Sources and Uses Budget'!C29</f>
        <v>0</v>
      </c>
      <c r="D30" s="523">
        <f>'Sources and Uses Budget'!C29</f>
        <v>0</v>
      </c>
      <c r="E30" s="525">
        <f t="shared" si="0"/>
        <v>0</v>
      </c>
      <c r="F30" s="524"/>
      <c r="G30" s="524"/>
    </row>
    <row r="31" spans="1:7" s="902" customFormat="1" ht="13.2">
      <c r="A31" s="369" t="s">
        <v>1015</v>
      </c>
      <c r="B31" s="523">
        <f>'Sources and Uses Budget'!C30</f>
        <v>14085077</v>
      </c>
      <c r="C31" s="523">
        <f>'Sources and Uses Budget'!C30</f>
        <v>14085077</v>
      </c>
      <c r="D31" s="523">
        <f>'Sources and Uses Budget'!C30</f>
        <v>14085077</v>
      </c>
      <c r="E31" s="525">
        <f t="shared" si="0"/>
        <v>0</v>
      </c>
      <c r="F31" s="524"/>
      <c r="G31" s="524"/>
    </row>
    <row r="32" spans="1:7" s="902" customFormat="1" ht="13.2">
      <c r="A32" s="369" t="s">
        <v>1016</v>
      </c>
      <c r="B32" s="523">
        <f>'Sources and Uses Budget'!C31</f>
        <v>772401</v>
      </c>
      <c r="C32" s="523">
        <f>'Sources and Uses Budget'!C31</f>
        <v>772401</v>
      </c>
      <c r="D32" s="523">
        <f>'Sources and Uses Budget'!C31</f>
        <v>772401</v>
      </c>
      <c r="E32" s="525">
        <f t="shared" si="0"/>
        <v>0</v>
      </c>
      <c r="F32" s="524"/>
      <c r="G32" s="524"/>
    </row>
    <row r="33" spans="1:7" s="902" customFormat="1" ht="13.2">
      <c r="A33" s="369" t="s">
        <v>1017</v>
      </c>
      <c r="B33" s="523">
        <f>'Sources and Uses Budget'!C32</f>
        <v>772286</v>
      </c>
      <c r="C33" s="523">
        <f>'Sources and Uses Budget'!C32</f>
        <v>772286</v>
      </c>
      <c r="D33" s="523">
        <f>'Sources and Uses Budget'!C32</f>
        <v>772286</v>
      </c>
      <c r="E33" s="525">
        <f t="shared" si="0"/>
        <v>0</v>
      </c>
      <c r="F33" s="524"/>
      <c r="G33" s="524"/>
    </row>
    <row r="34" spans="1:7" s="902" customFormat="1" ht="13.2">
      <c r="A34" s="369" t="s">
        <v>1018</v>
      </c>
      <c r="B34" s="523">
        <f>'Sources and Uses Budget'!C33</f>
        <v>0</v>
      </c>
      <c r="C34" s="523">
        <f>'Sources and Uses Budget'!C33</f>
        <v>0</v>
      </c>
      <c r="D34" s="523">
        <f>'Sources and Uses Budget'!C33</f>
        <v>0</v>
      </c>
      <c r="E34" s="525">
        <f t="shared" si="0"/>
        <v>0</v>
      </c>
      <c r="F34" s="524"/>
      <c r="G34" s="524"/>
    </row>
    <row r="35" spans="1:7" s="902" customFormat="1" ht="13.2">
      <c r="A35" s="369" t="s">
        <v>1019</v>
      </c>
      <c r="B35" s="523">
        <f>'Sources and Uses Budget'!C34</f>
        <v>0</v>
      </c>
      <c r="C35" s="523">
        <f>'Sources and Uses Budget'!C34</f>
        <v>0</v>
      </c>
      <c r="D35" s="523">
        <f>'Sources and Uses Budget'!C34</f>
        <v>0</v>
      </c>
      <c r="E35" s="525">
        <f t="shared" si="0"/>
        <v>0</v>
      </c>
      <c r="F35" s="524"/>
      <c r="G35" s="524"/>
    </row>
    <row r="36" spans="1:7" s="902" customFormat="1" ht="13.2">
      <c r="A36" s="369" t="s">
        <v>1020</v>
      </c>
      <c r="B36" s="523">
        <f>'Sources and Uses Budget'!C35</f>
        <v>0</v>
      </c>
      <c r="C36" s="523">
        <f>'Sources and Uses Budget'!C35</f>
        <v>0</v>
      </c>
      <c r="D36" s="523">
        <f>'Sources and Uses Budget'!C35</f>
        <v>0</v>
      </c>
      <c r="E36" s="525">
        <f t="shared" si="0"/>
        <v>0</v>
      </c>
      <c r="F36" s="524"/>
      <c r="G36" s="524"/>
    </row>
    <row r="37" spans="1:7" s="902" customFormat="1" ht="13.2">
      <c r="A37" s="722" t="s">
        <v>2247</v>
      </c>
      <c r="B37" s="523">
        <f>'Sources and Uses Budget'!C36</f>
        <v>0</v>
      </c>
      <c r="C37" s="523">
        <f>'Sources and Uses Budget'!C36</f>
        <v>0</v>
      </c>
      <c r="D37" s="523">
        <f>'Sources and Uses Budget'!C36</f>
        <v>0</v>
      </c>
      <c r="E37" s="525">
        <f t="shared" si="0"/>
        <v>0</v>
      </c>
      <c r="F37" s="524"/>
      <c r="G37" s="524"/>
    </row>
    <row r="38" spans="1:7" s="902" customFormat="1" ht="13.2">
      <c r="A38" s="380" t="s">
        <v>592</v>
      </c>
      <c r="B38" s="523">
        <f>'Sources and Uses Budget'!C37</f>
        <v>245140</v>
      </c>
      <c r="C38" s="523">
        <f>'Sources and Uses Budget'!C37</f>
        <v>245140</v>
      </c>
      <c r="D38" s="523">
        <f>'Sources and Uses Budget'!C37</f>
        <v>245140</v>
      </c>
      <c r="E38" s="525">
        <f t="shared" ref="E38:E39" si="3">C38-B38</f>
        <v>0</v>
      </c>
      <c r="F38" s="524"/>
      <c r="G38" s="524"/>
    </row>
    <row r="39" spans="1:7" s="902" customFormat="1" ht="13.2">
      <c r="A39" s="1498" t="s">
        <v>1023</v>
      </c>
      <c r="B39" s="1505">
        <f>'Sources and Uses Budget'!C38</f>
        <v>15874904</v>
      </c>
      <c r="C39" s="1505">
        <f>'Sources and Uses Budget'!C38</f>
        <v>15874904</v>
      </c>
      <c r="D39" s="1505">
        <f>'Sources and Uses Budget'!C38</f>
        <v>15874904</v>
      </c>
      <c r="E39" s="525">
        <f t="shared" si="3"/>
        <v>0</v>
      </c>
      <c r="F39" s="524"/>
      <c r="G39" s="524"/>
    </row>
    <row r="40" spans="1:7" s="902" customFormat="1" ht="13.2">
      <c r="A40" s="1493" t="s">
        <v>1024</v>
      </c>
      <c r="B40" s="521"/>
      <c r="C40" s="521"/>
      <c r="D40" s="521"/>
      <c r="E40" s="521"/>
      <c r="F40" s="521"/>
      <c r="G40" s="521"/>
    </row>
    <row r="41" spans="1:7" s="902" customFormat="1" ht="13.2">
      <c r="A41" s="1499" t="s">
        <v>1025</v>
      </c>
      <c r="B41" s="523">
        <f>'Sources and Uses Budget'!C40</f>
        <v>888953</v>
      </c>
      <c r="C41" s="523">
        <f>'Sources and Uses Budget'!C40</f>
        <v>888953</v>
      </c>
      <c r="D41" s="523">
        <f>'Sources and Uses Budget'!C40</f>
        <v>888953</v>
      </c>
      <c r="E41" s="525">
        <f t="shared" ref="E41:E44" si="4">C41-B41</f>
        <v>0</v>
      </c>
      <c r="F41" s="524"/>
      <c r="G41" s="524"/>
    </row>
    <row r="42" spans="1:7" s="902" customFormat="1" ht="13.2">
      <c r="A42" s="1499" t="s">
        <v>1026</v>
      </c>
      <c r="B42" s="523">
        <f>'Sources and Uses Budget'!C41</f>
        <v>0</v>
      </c>
      <c r="C42" s="523">
        <f>'Sources and Uses Budget'!C41</f>
        <v>0</v>
      </c>
      <c r="D42" s="523">
        <f>'Sources and Uses Budget'!C41</f>
        <v>0</v>
      </c>
      <c r="E42" s="525">
        <f t="shared" si="4"/>
        <v>0</v>
      </c>
      <c r="F42" s="524"/>
      <c r="G42" s="524"/>
    </row>
    <row r="43" spans="1:7" s="902" customFormat="1" ht="12" customHeight="1">
      <c r="A43" s="1498" t="s">
        <v>1027</v>
      </c>
      <c r="B43" s="1505">
        <f>'Sources and Uses Budget'!C42</f>
        <v>888953</v>
      </c>
      <c r="C43" s="1505">
        <f>'Sources and Uses Budget'!C42</f>
        <v>888953</v>
      </c>
      <c r="D43" s="1505">
        <f>'Sources and Uses Budget'!C42</f>
        <v>888953</v>
      </c>
      <c r="E43" s="525">
        <f t="shared" si="4"/>
        <v>0</v>
      </c>
      <c r="F43" s="524"/>
      <c r="G43" s="524"/>
    </row>
    <row r="44" spans="1:7" s="902" customFormat="1" ht="13.2">
      <c r="A44" s="1498" t="s">
        <v>1028</v>
      </c>
      <c r="B44" s="523">
        <f>'Sources and Uses Budget'!C43</f>
        <v>98773</v>
      </c>
      <c r="C44" s="523">
        <f>'Sources and Uses Budget'!C43</f>
        <v>98773</v>
      </c>
      <c r="D44" s="523">
        <f>'Sources and Uses Budget'!C43</f>
        <v>98773</v>
      </c>
      <c r="E44" s="525">
        <f t="shared" si="4"/>
        <v>0</v>
      </c>
      <c r="F44" s="524"/>
      <c r="G44" s="524"/>
    </row>
    <row r="45" spans="1:7" s="902" customFormat="1" ht="13.2">
      <c r="A45" s="365" t="s">
        <v>1029</v>
      </c>
      <c r="B45" s="521"/>
      <c r="C45" s="521"/>
      <c r="D45" s="521"/>
      <c r="E45" s="521"/>
      <c r="F45" s="521"/>
      <c r="G45" s="521"/>
    </row>
    <row r="46" spans="1:7" s="902" customFormat="1" ht="12" customHeight="1">
      <c r="A46" s="369" t="s">
        <v>1030</v>
      </c>
      <c r="B46" s="523">
        <f>'Sources and Uses Budget'!C45</f>
        <v>657273</v>
      </c>
      <c r="C46" s="523">
        <f>'Sources and Uses Budget'!C45</f>
        <v>657273</v>
      </c>
      <c r="D46" s="523">
        <f>'Sources and Uses Budget'!C45</f>
        <v>657273</v>
      </c>
      <c r="E46" s="525">
        <f t="shared" si="0"/>
        <v>0</v>
      </c>
      <c r="F46" s="524"/>
      <c r="G46" s="524"/>
    </row>
    <row r="47" spans="1:7" s="902" customFormat="1" ht="13.2">
      <c r="A47" s="369" t="s">
        <v>1031</v>
      </c>
      <c r="B47" s="523">
        <f>'Sources and Uses Budget'!C46</f>
        <v>199430</v>
      </c>
      <c r="C47" s="523">
        <f>'Sources and Uses Budget'!C46</f>
        <v>199430</v>
      </c>
      <c r="D47" s="523">
        <f>'Sources and Uses Budget'!C46</f>
        <v>199430</v>
      </c>
      <c r="E47" s="525">
        <f t="shared" si="0"/>
        <v>0</v>
      </c>
      <c r="F47" s="524"/>
      <c r="G47" s="524"/>
    </row>
    <row r="48" spans="1:7" s="902" customFormat="1" ht="13.2">
      <c r="A48" s="369" t="s">
        <v>1032</v>
      </c>
      <c r="B48" s="523">
        <f>'Sources and Uses Budget'!C47</f>
        <v>0</v>
      </c>
      <c r="C48" s="523">
        <f>'Sources and Uses Budget'!C47</f>
        <v>0</v>
      </c>
      <c r="D48" s="523">
        <f>'Sources and Uses Budget'!C47</f>
        <v>0</v>
      </c>
      <c r="E48" s="525">
        <f t="shared" si="0"/>
        <v>0</v>
      </c>
      <c r="F48" s="524"/>
      <c r="G48" s="524"/>
    </row>
    <row r="49" spans="1:7" s="902" customFormat="1" ht="13.2">
      <c r="A49" s="369" t="s">
        <v>1033</v>
      </c>
      <c r="B49" s="523">
        <f>'Sources and Uses Budget'!C48</f>
        <v>0</v>
      </c>
      <c r="C49" s="523">
        <f>'Sources and Uses Budget'!C48</f>
        <v>0</v>
      </c>
      <c r="D49" s="523">
        <f>'Sources and Uses Budget'!C48</f>
        <v>0</v>
      </c>
      <c r="E49" s="525">
        <f t="shared" si="0"/>
        <v>0</v>
      </c>
      <c r="F49" s="524"/>
      <c r="G49" s="524"/>
    </row>
    <row r="50" spans="1:7" s="902" customFormat="1" ht="13.2">
      <c r="A50" s="369" t="s">
        <v>1036</v>
      </c>
      <c r="B50" s="523">
        <f>'Sources and Uses Budget'!C49</f>
        <v>35000</v>
      </c>
      <c r="C50" s="523">
        <f>'Sources and Uses Budget'!C49</f>
        <v>35000</v>
      </c>
      <c r="D50" s="523">
        <f>'Sources and Uses Budget'!C49</f>
        <v>35000</v>
      </c>
      <c r="E50" s="525">
        <f t="shared" si="0"/>
        <v>0</v>
      </c>
      <c r="F50" s="524"/>
      <c r="G50" s="524"/>
    </row>
    <row r="51" spans="1:7" s="902" customFormat="1" ht="13.2">
      <c r="A51" s="369" t="s">
        <v>1034</v>
      </c>
      <c r="B51" s="523">
        <f>'Sources and Uses Budget'!C50</f>
        <v>59264</v>
      </c>
      <c r="C51" s="523">
        <f>'Sources and Uses Budget'!C50</f>
        <v>59264</v>
      </c>
      <c r="D51" s="523">
        <f>'Sources and Uses Budget'!C50</f>
        <v>59264</v>
      </c>
      <c r="E51" s="525">
        <f t="shared" si="0"/>
        <v>0</v>
      </c>
      <c r="F51" s="524"/>
      <c r="G51" s="524"/>
    </row>
    <row r="52" spans="1:7" s="903" customFormat="1" ht="13.2">
      <c r="A52" s="369" t="s">
        <v>1035</v>
      </c>
      <c r="B52" s="523">
        <f>'Sources and Uses Budget'!C51</f>
        <v>54325</v>
      </c>
      <c r="C52" s="523">
        <f>'Sources and Uses Budget'!C51</f>
        <v>54325</v>
      </c>
      <c r="D52" s="523">
        <f>'Sources and Uses Budget'!C51</f>
        <v>54325</v>
      </c>
      <c r="E52" s="525">
        <f t="shared" si="0"/>
        <v>0</v>
      </c>
      <c r="F52" s="524"/>
      <c r="G52" s="524"/>
    </row>
    <row r="53" spans="1:7" s="902" customFormat="1" ht="13.2">
      <c r="A53" s="376" t="s">
        <v>592</v>
      </c>
      <c r="B53" s="523">
        <f>'Sources and Uses Budget'!C52</f>
        <v>0</v>
      </c>
      <c r="C53" s="523">
        <f>'Sources and Uses Budget'!C52</f>
        <v>0</v>
      </c>
      <c r="D53" s="523">
        <f>'Sources and Uses Budget'!C52</f>
        <v>0</v>
      </c>
      <c r="E53" s="525">
        <f t="shared" si="0"/>
        <v>0</v>
      </c>
      <c r="F53" s="524"/>
      <c r="G53" s="524"/>
    </row>
    <row r="54" spans="1:7" s="902" customFormat="1" ht="13.2">
      <c r="A54" s="373" t="s">
        <v>1037</v>
      </c>
      <c r="B54" s="1505">
        <f>'Sources and Uses Budget'!C53</f>
        <v>1005292</v>
      </c>
      <c r="C54" s="1505">
        <f>'Sources and Uses Budget'!C53</f>
        <v>1005292</v>
      </c>
      <c r="D54" s="1505">
        <f>'Sources and Uses Budget'!C53</f>
        <v>1005292</v>
      </c>
      <c r="E54" s="525">
        <f t="shared" si="0"/>
        <v>0</v>
      </c>
      <c r="F54" s="524"/>
      <c r="G54" s="524"/>
    </row>
    <row r="55" spans="1:7" s="902" customFormat="1" ht="12" customHeight="1">
      <c r="A55" s="1493" t="s">
        <v>749</v>
      </c>
      <c r="B55" s="521"/>
      <c r="C55" s="521"/>
      <c r="D55" s="521"/>
      <c r="E55" s="521"/>
      <c r="F55" s="521"/>
      <c r="G55" s="521"/>
    </row>
    <row r="56" spans="1:7" s="902" customFormat="1" ht="13.2">
      <c r="A56" s="1499" t="s">
        <v>1038</v>
      </c>
      <c r="B56" s="523">
        <f>'Sources and Uses Budget'!C55</f>
        <v>0</v>
      </c>
      <c r="C56" s="523">
        <f>'Sources and Uses Budget'!C55</f>
        <v>0</v>
      </c>
      <c r="D56" s="523">
        <f>'Sources and Uses Budget'!C55</f>
        <v>0</v>
      </c>
      <c r="E56" s="525">
        <f t="shared" si="0"/>
        <v>0</v>
      </c>
      <c r="F56" s="524"/>
      <c r="G56" s="524"/>
    </row>
    <row r="57" spans="1:7" s="902" customFormat="1" ht="13.2">
      <c r="A57" s="1499" t="s">
        <v>1032</v>
      </c>
      <c r="B57" s="523">
        <f>'Sources and Uses Budget'!C56</f>
        <v>0</v>
      </c>
      <c r="C57" s="523">
        <f>'Sources and Uses Budget'!C56</f>
        <v>0</v>
      </c>
      <c r="D57" s="523">
        <f>'Sources and Uses Budget'!C56</f>
        <v>0</v>
      </c>
      <c r="E57" s="525">
        <f t="shared" si="0"/>
        <v>0</v>
      </c>
      <c r="F57" s="524"/>
      <c r="G57" s="524"/>
    </row>
    <row r="58" spans="1:7" s="902" customFormat="1" ht="13.2">
      <c r="A58" s="1499" t="s">
        <v>1036</v>
      </c>
      <c r="B58" s="523">
        <f>'Sources and Uses Budget'!C57</f>
        <v>15000</v>
      </c>
      <c r="C58" s="523">
        <f>'Sources and Uses Budget'!C57</f>
        <v>15000</v>
      </c>
      <c r="D58" s="523">
        <f>'Sources and Uses Budget'!C57</f>
        <v>15000</v>
      </c>
      <c r="E58" s="525">
        <f t="shared" si="0"/>
        <v>0</v>
      </c>
      <c r="F58" s="524"/>
      <c r="G58" s="524"/>
    </row>
    <row r="59" spans="1:7" s="902" customFormat="1" ht="13.2">
      <c r="A59" s="1499" t="s">
        <v>1034</v>
      </c>
      <c r="B59" s="523">
        <f>'Sources and Uses Budget'!C58</f>
        <v>0</v>
      </c>
      <c r="C59" s="523">
        <f>'Sources and Uses Budget'!C58</f>
        <v>0</v>
      </c>
      <c r="D59" s="523">
        <f>'Sources and Uses Budget'!C58</f>
        <v>0</v>
      </c>
      <c r="E59" s="525">
        <f t="shared" si="0"/>
        <v>0</v>
      </c>
      <c r="F59" s="524"/>
      <c r="G59" s="524"/>
    </row>
    <row r="60" spans="1:7" s="902" customFormat="1" ht="13.2">
      <c r="A60" s="1499" t="s">
        <v>1035</v>
      </c>
      <c r="B60" s="523">
        <f>'Sources and Uses Budget'!C59</f>
        <v>0</v>
      </c>
      <c r="C60" s="523">
        <f>'Sources and Uses Budget'!C59</f>
        <v>0</v>
      </c>
      <c r="D60" s="523">
        <f>'Sources and Uses Budget'!C59</f>
        <v>0</v>
      </c>
      <c r="E60" s="525">
        <f t="shared" si="0"/>
        <v>0</v>
      </c>
      <c r="F60" s="524"/>
      <c r="G60" s="524"/>
    </row>
    <row r="61" spans="1:7" s="902" customFormat="1" ht="14.1" customHeight="1">
      <c r="A61" s="1500" t="s">
        <v>592</v>
      </c>
      <c r="B61" s="523">
        <f>'Sources and Uses Budget'!C60</f>
        <v>0</v>
      </c>
      <c r="C61" s="523">
        <f>'Sources and Uses Budget'!C60</f>
        <v>0</v>
      </c>
      <c r="D61" s="523">
        <f>'Sources and Uses Budget'!C60</f>
        <v>0</v>
      </c>
      <c r="E61" s="525">
        <f t="shared" si="0"/>
        <v>0</v>
      </c>
      <c r="F61" s="524"/>
      <c r="G61" s="524"/>
    </row>
    <row r="62" spans="1:7" s="902" customFormat="1" ht="13.2">
      <c r="A62" s="1498" t="s">
        <v>549</v>
      </c>
      <c r="B62" s="1505">
        <f>'Sources and Uses Budget'!C61</f>
        <v>15000</v>
      </c>
      <c r="C62" s="1505">
        <f>'Sources and Uses Budget'!C61</f>
        <v>15000</v>
      </c>
      <c r="D62" s="1505">
        <f>'Sources and Uses Budget'!C61</f>
        <v>15000</v>
      </c>
      <c r="E62" s="525">
        <f t="shared" si="0"/>
        <v>0</v>
      </c>
      <c r="F62" s="524"/>
      <c r="G62" s="524"/>
    </row>
    <row r="63" spans="1:7" s="902" customFormat="1" ht="13.2">
      <c r="A63" s="1501" t="s">
        <v>550</v>
      </c>
      <c r="B63" s="1505">
        <f>'Sources and Uses Budget'!C62</f>
        <v>18788168</v>
      </c>
      <c r="C63" s="1505">
        <f>'Sources and Uses Budget'!C62</f>
        <v>18788168</v>
      </c>
      <c r="D63" s="1505">
        <f>'Sources and Uses Budget'!C62</f>
        <v>18788168</v>
      </c>
      <c r="E63" s="525">
        <f t="shared" si="0"/>
        <v>0</v>
      </c>
      <c r="F63" s="524"/>
      <c r="G63" s="524"/>
    </row>
    <row r="64" spans="1:7" s="902" customFormat="1" ht="22.8">
      <c r="A64" s="365" t="s">
        <v>2248</v>
      </c>
      <c r="B64" s="521"/>
      <c r="C64" s="521"/>
      <c r="D64" s="521"/>
      <c r="E64" s="521"/>
      <c r="F64" s="521"/>
      <c r="G64" s="521"/>
    </row>
    <row r="65" spans="1:7" s="902" customFormat="1" ht="13.2">
      <c r="A65" s="369" t="s">
        <v>312</v>
      </c>
      <c r="B65" s="523">
        <f>'Sources and Uses Budget'!C64</f>
        <v>45000</v>
      </c>
      <c r="C65" s="523">
        <f>'Sources and Uses Budget'!C64</f>
        <v>45000</v>
      </c>
      <c r="D65" s="523">
        <f>'Sources and Uses Budget'!C64</f>
        <v>45000</v>
      </c>
      <c r="E65" s="525">
        <f t="shared" si="0"/>
        <v>0</v>
      </c>
      <c r="F65" s="524"/>
      <c r="G65" s="524"/>
    </row>
    <row r="66" spans="1:7" s="902" customFormat="1" ht="22.8">
      <c r="A66" s="369" t="s">
        <v>2249</v>
      </c>
      <c r="B66" s="523">
        <f>'Sources and Uses Budget'!C65</f>
        <v>0</v>
      </c>
      <c r="C66" s="523">
        <f>'Sources and Uses Budget'!C65</f>
        <v>0</v>
      </c>
      <c r="D66" s="523">
        <f>'Sources and Uses Budget'!C65</f>
        <v>0</v>
      </c>
      <c r="E66" s="525">
        <f t="shared" si="0"/>
        <v>0</v>
      </c>
      <c r="F66" s="524"/>
      <c r="G66" s="524"/>
    </row>
    <row r="67" spans="1:7" s="902" customFormat="1" ht="22.8">
      <c r="A67" s="369" t="s">
        <v>2250</v>
      </c>
      <c r="B67" s="523">
        <f>'Sources and Uses Budget'!C66</f>
        <v>0</v>
      </c>
      <c r="C67" s="523">
        <f>'Sources and Uses Budget'!C66</f>
        <v>0</v>
      </c>
      <c r="D67" s="523">
        <f>'Sources and Uses Budget'!C66</f>
        <v>0</v>
      </c>
      <c r="E67" s="525">
        <f t="shared" si="0"/>
        <v>0</v>
      </c>
      <c r="F67" s="524"/>
      <c r="G67" s="524"/>
    </row>
    <row r="68" spans="1:7" s="902" customFormat="1" ht="13.2">
      <c r="A68" s="369" t="s">
        <v>2251</v>
      </c>
      <c r="B68" s="523">
        <f>'Sources and Uses Budget'!C67</f>
        <v>0</v>
      </c>
      <c r="C68" s="523">
        <f>'Sources and Uses Budget'!C67</f>
        <v>0</v>
      </c>
      <c r="D68" s="523">
        <f>'Sources and Uses Budget'!C67</f>
        <v>0</v>
      </c>
      <c r="E68" s="525">
        <f t="shared" si="0"/>
        <v>0</v>
      </c>
      <c r="F68" s="524"/>
      <c r="G68" s="524"/>
    </row>
    <row r="69" spans="1:7" s="902" customFormat="1" ht="13.2">
      <c r="A69" s="380" t="s">
        <v>2320</v>
      </c>
      <c r="B69" s="523">
        <f>'Sources and Uses Budget'!C68</f>
        <v>128404</v>
      </c>
      <c r="C69" s="523">
        <f>'Sources and Uses Budget'!C68</f>
        <v>128404</v>
      </c>
      <c r="D69" s="523">
        <f>'Sources and Uses Budget'!C68</f>
        <v>128404</v>
      </c>
      <c r="E69" s="525">
        <f t="shared" si="0"/>
        <v>0</v>
      </c>
      <c r="F69" s="524"/>
      <c r="G69" s="524"/>
    </row>
    <row r="70" spans="1:7" s="902" customFormat="1" ht="13.2">
      <c r="A70" s="373" t="s">
        <v>2252</v>
      </c>
      <c r="B70" s="1505">
        <f>'Sources and Uses Budget'!C69</f>
        <v>173404</v>
      </c>
      <c r="C70" s="1505">
        <f>'Sources and Uses Budget'!C69</f>
        <v>173404</v>
      </c>
      <c r="D70" s="1505">
        <f>'Sources and Uses Budget'!C69</f>
        <v>173404</v>
      </c>
      <c r="E70" s="525">
        <f t="shared" si="0"/>
        <v>0</v>
      </c>
      <c r="F70" s="524"/>
      <c r="G70" s="524"/>
    </row>
    <row r="71" spans="1:7" s="902" customFormat="1" ht="13.2">
      <c r="A71" s="1493" t="s">
        <v>313</v>
      </c>
      <c r="B71" s="521"/>
      <c r="C71" s="521"/>
      <c r="D71" s="521"/>
      <c r="E71" s="521"/>
      <c r="F71" s="521"/>
      <c r="G71" s="521"/>
    </row>
    <row r="72" spans="1:7" s="902" customFormat="1" ht="13.2">
      <c r="A72" s="1499" t="s">
        <v>314</v>
      </c>
      <c r="B72" s="523">
        <f>'Sources and Uses Budget'!C71</f>
        <v>0</v>
      </c>
      <c r="C72" s="523">
        <f>'Sources and Uses Budget'!C71</f>
        <v>0</v>
      </c>
      <c r="D72" s="523">
        <f>'Sources and Uses Budget'!C71</f>
        <v>0</v>
      </c>
      <c r="E72" s="525">
        <f t="shared" si="0"/>
        <v>0</v>
      </c>
      <c r="F72" s="524"/>
      <c r="G72" s="524"/>
    </row>
    <row r="73" spans="1:7" s="902" customFormat="1" ht="13.2">
      <c r="A73" s="1499" t="s">
        <v>315</v>
      </c>
      <c r="B73" s="523">
        <f>'Sources and Uses Budget'!C72</f>
        <v>0</v>
      </c>
      <c r="C73" s="523">
        <f>'Sources and Uses Budget'!C72</f>
        <v>0</v>
      </c>
      <c r="D73" s="523">
        <f>'Sources and Uses Budget'!C72</f>
        <v>0</v>
      </c>
      <c r="E73" s="525">
        <f t="shared" si="0"/>
        <v>0</v>
      </c>
      <c r="F73" s="524"/>
      <c r="G73" s="524"/>
    </row>
    <row r="74" spans="1:7" s="902" customFormat="1" ht="13.2">
      <c r="A74" s="1502" t="s">
        <v>1374</v>
      </c>
      <c r="B74" s="523">
        <f>'Sources and Uses Budget'!C73</f>
        <v>0</v>
      </c>
      <c r="C74" s="523">
        <f>'Sources and Uses Budget'!C73</f>
        <v>0</v>
      </c>
      <c r="D74" s="523">
        <f>'Sources and Uses Budget'!C73</f>
        <v>0</v>
      </c>
      <c r="E74" s="525">
        <f t="shared" ref="E74:E77" si="5">C74-B74</f>
        <v>0</v>
      </c>
      <c r="F74" s="524"/>
      <c r="G74" s="524"/>
    </row>
    <row r="75" spans="1:7" s="902" customFormat="1" ht="13.2">
      <c r="A75" s="1499" t="s">
        <v>316</v>
      </c>
      <c r="B75" s="523">
        <f>'Sources and Uses Budget'!C74</f>
        <v>192090</v>
      </c>
      <c r="C75" s="523">
        <f>'Sources and Uses Budget'!C74</f>
        <v>192090</v>
      </c>
      <c r="D75" s="523">
        <f>'Sources and Uses Budget'!C74</f>
        <v>192090</v>
      </c>
      <c r="E75" s="525">
        <f t="shared" si="5"/>
        <v>0</v>
      </c>
      <c r="F75" s="524"/>
      <c r="G75" s="524"/>
    </row>
    <row r="76" spans="1:7" s="902" customFormat="1" ht="13.2">
      <c r="A76" s="1503" t="s">
        <v>592</v>
      </c>
      <c r="B76" s="523">
        <f>'Sources and Uses Budget'!C75</f>
        <v>196539</v>
      </c>
      <c r="C76" s="523">
        <f>'Sources and Uses Budget'!C75</f>
        <v>196539</v>
      </c>
      <c r="D76" s="523">
        <f>'Sources and Uses Budget'!C75</f>
        <v>196539</v>
      </c>
      <c r="E76" s="525">
        <f t="shared" si="5"/>
        <v>0</v>
      </c>
      <c r="F76" s="524"/>
      <c r="G76" s="524"/>
    </row>
    <row r="77" spans="1:7" s="902" customFormat="1" ht="13.2">
      <c r="A77" s="1498" t="s">
        <v>317</v>
      </c>
      <c r="B77" s="1505">
        <f>'Sources and Uses Budget'!C76</f>
        <v>388629</v>
      </c>
      <c r="C77" s="1505">
        <f>'Sources and Uses Budget'!C76</f>
        <v>388629</v>
      </c>
      <c r="D77" s="1505">
        <f>'Sources and Uses Budget'!C76</f>
        <v>388629</v>
      </c>
      <c r="E77" s="525">
        <f t="shared" si="5"/>
        <v>0</v>
      </c>
      <c r="F77" s="524"/>
      <c r="G77" s="524"/>
    </row>
    <row r="78" spans="1:7" s="902" customFormat="1" ht="13.2">
      <c r="A78" s="1493" t="s">
        <v>1973</v>
      </c>
      <c r="B78" s="521"/>
      <c r="C78" s="521"/>
      <c r="D78" s="521"/>
      <c r="E78" s="521"/>
      <c r="F78" s="521"/>
      <c r="G78" s="521"/>
    </row>
    <row r="79" spans="1:7" s="902" customFormat="1" ht="14.1" customHeight="1">
      <c r="A79" s="1499" t="s">
        <v>1971</v>
      </c>
      <c r="B79" s="523">
        <f>'Sources and Uses Budget'!C78</f>
        <v>859701</v>
      </c>
      <c r="C79" s="523">
        <f>'Sources and Uses Budget'!C78</f>
        <v>859701</v>
      </c>
      <c r="D79" s="523">
        <f>'Sources and Uses Budget'!C78</f>
        <v>859701</v>
      </c>
      <c r="E79" s="525">
        <f t="shared" ref="E79:E105" si="6">C79-B79</f>
        <v>0</v>
      </c>
      <c r="F79" s="524"/>
      <c r="G79" s="524"/>
    </row>
    <row r="80" spans="1:7" s="902" customFormat="1" ht="13.2">
      <c r="A80" s="1499" t="s">
        <v>597</v>
      </c>
      <c r="B80" s="523">
        <f>'Sources and Uses Budget'!C79</f>
        <v>124759</v>
      </c>
      <c r="C80" s="523">
        <f>'Sources and Uses Budget'!C79</f>
        <v>124759</v>
      </c>
      <c r="D80" s="523">
        <f>'Sources and Uses Budget'!C79</f>
        <v>124759</v>
      </c>
      <c r="E80" s="525">
        <f t="shared" si="6"/>
        <v>0</v>
      </c>
      <c r="F80" s="524"/>
      <c r="G80" s="524"/>
    </row>
    <row r="81" spans="1:7" s="902" customFormat="1" ht="13.2">
      <c r="A81" s="1498" t="s">
        <v>1972</v>
      </c>
      <c r="B81" s="1505">
        <f>'Sources and Uses Budget'!C80</f>
        <v>984460</v>
      </c>
      <c r="C81" s="1505">
        <f>'Sources and Uses Budget'!C80</f>
        <v>984460</v>
      </c>
      <c r="D81" s="1505">
        <f>'Sources and Uses Budget'!C80</f>
        <v>984460</v>
      </c>
      <c r="E81" s="525">
        <f t="shared" si="6"/>
        <v>0</v>
      </c>
      <c r="F81" s="524"/>
      <c r="G81" s="524"/>
    </row>
    <row r="82" spans="1:7" s="902" customFormat="1" ht="13.2">
      <c r="A82" s="1493" t="s">
        <v>573</v>
      </c>
      <c r="B82" s="521"/>
      <c r="C82" s="521"/>
      <c r="D82" s="521"/>
      <c r="E82" s="521"/>
      <c r="F82" s="521"/>
      <c r="G82" s="521"/>
    </row>
    <row r="83" spans="1:7" s="902" customFormat="1" ht="13.2">
      <c r="A83" s="369" t="s">
        <v>574</v>
      </c>
      <c r="B83" s="523">
        <f>'Sources and Uses Budget'!C82</f>
        <v>96365</v>
      </c>
      <c r="C83" s="523">
        <f>'Sources and Uses Budget'!C82</f>
        <v>96365</v>
      </c>
      <c r="D83" s="523">
        <f>'Sources and Uses Budget'!C82</f>
        <v>96365</v>
      </c>
      <c r="E83" s="525">
        <f t="shared" si="6"/>
        <v>0</v>
      </c>
      <c r="F83" s="524"/>
      <c r="G83" s="524"/>
    </row>
    <row r="84" spans="1:7" s="902" customFormat="1" ht="13.2">
      <c r="A84" s="369" t="s">
        <v>575</v>
      </c>
      <c r="B84" s="523">
        <f>'Sources and Uses Budget'!C83</f>
        <v>15000</v>
      </c>
      <c r="C84" s="523">
        <f>'Sources and Uses Budget'!C83</f>
        <v>15000</v>
      </c>
      <c r="D84" s="523">
        <f>'Sources and Uses Budget'!C83</f>
        <v>15000</v>
      </c>
      <c r="E84" s="525">
        <f t="shared" si="6"/>
        <v>0</v>
      </c>
      <c r="F84" s="524"/>
      <c r="G84" s="524"/>
    </row>
    <row r="85" spans="1:7" s="902" customFormat="1" ht="13.2">
      <c r="A85" s="369" t="s">
        <v>576</v>
      </c>
      <c r="B85" s="523">
        <f>'Sources and Uses Budget'!C84</f>
        <v>411125</v>
      </c>
      <c r="C85" s="523">
        <f>'Sources and Uses Budget'!C84</f>
        <v>411125</v>
      </c>
      <c r="D85" s="523">
        <f>'Sources and Uses Budget'!C84</f>
        <v>411125</v>
      </c>
      <c r="E85" s="525">
        <f t="shared" si="6"/>
        <v>0</v>
      </c>
      <c r="F85" s="524"/>
      <c r="G85" s="524"/>
    </row>
    <row r="86" spans="1:7" s="902" customFormat="1" ht="13.2">
      <c r="A86" s="369" t="s">
        <v>577</v>
      </c>
      <c r="B86" s="523">
        <f>'Sources and Uses Budget'!C85</f>
        <v>79018</v>
      </c>
      <c r="C86" s="523">
        <f>'Sources and Uses Budget'!C85</f>
        <v>79018</v>
      </c>
      <c r="D86" s="523">
        <f>'Sources and Uses Budget'!C85</f>
        <v>79018</v>
      </c>
      <c r="E86" s="525">
        <f t="shared" si="6"/>
        <v>0</v>
      </c>
      <c r="F86" s="524"/>
      <c r="G86" s="524"/>
    </row>
    <row r="87" spans="1:7" s="902" customFormat="1" ht="13.2">
      <c r="A87" s="369" t="s">
        <v>578</v>
      </c>
      <c r="B87" s="523">
        <f>'Sources and Uses Budget'!C86</f>
        <v>0</v>
      </c>
      <c r="C87" s="523">
        <f>'Sources and Uses Budget'!C86</f>
        <v>0</v>
      </c>
      <c r="D87" s="523">
        <f>'Sources and Uses Budget'!C86</f>
        <v>0</v>
      </c>
      <c r="E87" s="525">
        <f t="shared" si="6"/>
        <v>0</v>
      </c>
      <c r="F87" s="524"/>
      <c r="G87" s="524"/>
    </row>
    <row r="88" spans="1:7" s="902" customFormat="1" ht="13.2">
      <c r="A88" s="369" t="s">
        <v>579</v>
      </c>
      <c r="B88" s="523">
        <f>'Sources and Uses Budget'!C87</f>
        <v>50000</v>
      </c>
      <c r="C88" s="523">
        <f>'Sources and Uses Budget'!C87</f>
        <v>50000</v>
      </c>
      <c r="D88" s="523">
        <f>'Sources and Uses Budget'!C87</f>
        <v>50000</v>
      </c>
      <c r="E88" s="525">
        <f t="shared" si="6"/>
        <v>0</v>
      </c>
      <c r="F88" s="524"/>
      <c r="G88" s="524"/>
    </row>
    <row r="89" spans="1:7" s="902" customFormat="1" ht="13.2">
      <c r="A89" s="369" t="s">
        <v>580</v>
      </c>
      <c r="B89" s="523">
        <f>'Sources and Uses Budget'!C88</f>
        <v>75000</v>
      </c>
      <c r="C89" s="523">
        <f>'Sources and Uses Budget'!C88</f>
        <v>75000</v>
      </c>
      <c r="D89" s="523">
        <f>'Sources and Uses Budget'!C88</f>
        <v>75000</v>
      </c>
      <c r="E89" s="525">
        <f t="shared" si="6"/>
        <v>0</v>
      </c>
      <c r="F89" s="524"/>
      <c r="G89" s="524"/>
    </row>
    <row r="90" spans="1:7" s="902" customFormat="1" ht="13.2">
      <c r="A90" s="369" t="s">
        <v>581</v>
      </c>
      <c r="B90" s="523">
        <f>'Sources and Uses Budget'!C89</f>
        <v>9000</v>
      </c>
      <c r="C90" s="523">
        <f>'Sources and Uses Budget'!C89</f>
        <v>9000</v>
      </c>
      <c r="D90" s="523">
        <f>'Sources and Uses Budget'!C89</f>
        <v>9000</v>
      </c>
      <c r="E90" s="525">
        <f t="shared" si="6"/>
        <v>0</v>
      </c>
      <c r="F90" s="524"/>
      <c r="G90" s="524"/>
    </row>
    <row r="91" spans="1:7" s="902" customFormat="1" ht="13.2">
      <c r="A91" s="380" t="s">
        <v>1456</v>
      </c>
      <c r="B91" s="523">
        <f>'Sources and Uses Budget'!C90</f>
        <v>25000</v>
      </c>
      <c r="C91" s="523">
        <f>'Sources and Uses Budget'!C90</f>
        <v>25000</v>
      </c>
      <c r="D91" s="523">
        <f>'Sources and Uses Budget'!C90</f>
        <v>25000</v>
      </c>
      <c r="E91" s="525">
        <f t="shared" si="6"/>
        <v>0</v>
      </c>
      <c r="F91" s="524"/>
      <c r="G91" s="524"/>
    </row>
    <row r="92" spans="1:7" s="902" customFormat="1" ht="13.2">
      <c r="A92" s="380" t="s">
        <v>1970</v>
      </c>
      <c r="B92" s="523">
        <f>'Sources and Uses Budget'!C91</f>
        <v>14500</v>
      </c>
      <c r="C92" s="523">
        <f>'Sources and Uses Budget'!C91</f>
        <v>14500</v>
      </c>
      <c r="D92" s="523">
        <f>'Sources and Uses Budget'!C91</f>
        <v>14500</v>
      </c>
      <c r="E92" s="525">
        <f t="shared" si="6"/>
        <v>0</v>
      </c>
      <c r="F92" s="524"/>
      <c r="G92" s="524"/>
    </row>
    <row r="93" spans="1:7" s="902" customFormat="1" ht="13.2">
      <c r="A93" s="376" t="s">
        <v>592</v>
      </c>
      <c r="B93" s="523">
        <f>'Sources and Uses Budget'!C92</f>
        <v>14816</v>
      </c>
      <c r="C93" s="523">
        <f>'Sources and Uses Budget'!C92</f>
        <v>14816</v>
      </c>
      <c r="D93" s="523">
        <f>'Sources and Uses Budget'!C92</f>
        <v>14816</v>
      </c>
      <c r="E93" s="525">
        <f t="shared" si="6"/>
        <v>0</v>
      </c>
      <c r="F93" s="524"/>
      <c r="G93" s="524"/>
    </row>
    <row r="94" spans="1:7" s="902" customFormat="1" ht="13.2">
      <c r="A94" s="376" t="s">
        <v>592</v>
      </c>
      <c r="B94" s="523">
        <f>'Sources and Uses Budget'!C93</f>
        <v>50000</v>
      </c>
      <c r="C94" s="523">
        <f>'Sources and Uses Budget'!C93</f>
        <v>50000</v>
      </c>
      <c r="D94" s="523">
        <f>'Sources and Uses Budget'!C93</f>
        <v>50000</v>
      </c>
      <c r="E94" s="525">
        <f t="shared" si="6"/>
        <v>0</v>
      </c>
      <c r="F94" s="524"/>
      <c r="G94" s="524"/>
    </row>
    <row r="95" spans="1:7" s="902" customFormat="1" ht="13.2">
      <c r="A95" s="376" t="s">
        <v>592</v>
      </c>
      <c r="B95" s="523">
        <f>'Sources and Uses Budget'!C94</f>
        <v>0</v>
      </c>
      <c r="C95" s="523">
        <f>'Sources and Uses Budget'!C94</f>
        <v>0</v>
      </c>
      <c r="D95" s="523">
        <f>'Sources and Uses Budget'!C94</f>
        <v>0</v>
      </c>
      <c r="E95" s="525">
        <f t="shared" si="6"/>
        <v>0</v>
      </c>
      <c r="F95" s="524"/>
      <c r="G95" s="524"/>
    </row>
    <row r="96" spans="1:7" s="902" customFormat="1" ht="13.2">
      <c r="A96" s="373" t="s">
        <v>582</v>
      </c>
      <c r="B96" s="1505">
        <f>'Sources and Uses Budget'!C95</f>
        <v>839824</v>
      </c>
      <c r="C96" s="1505">
        <f>'Sources and Uses Budget'!C95</f>
        <v>839824</v>
      </c>
      <c r="D96" s="1505">
        <f>'Sources and Uses Budget'!C95</f>
        <v>839824</v>
      </c>
      <c r="E96" s="525">
        <f t="shared" si="6"/>
        <v>0</v>
      </c>
      <c r="F96" s="524"/>
      <c r="G96" s="524"/>
    </row>
    <row r="97" spans="1:7" s="901" customFormat="1" ht="13.2">
      <c r="A97" s="373" t="s">
        <v>583</v>
      </c>
      <c r="B97" s="1505">
        <f>'Sources and Uses Budget'!C96</f>
        <v>21174485</v>
      </c>
      <c r="C97" s="1505">
        <f>'Sources and Uses Budget'!C96</f>
        <v>21174485</v>
      </c>
      <c r="D97" s="1505">
        <f>'Sources and Uses Budget'!C96</f>
        <v>21174485</v>
      </c>
      <c r="E97" s="525">
        <f t="shared" si="6"/>
        <v>0</v>
      </c>
      <c r="F97" s="524"/>
      <c r="G97" s="524"/>
    </row>
    <row r="98" spans="1:7" s="901" customFormat="1" ht="13.2">
      <c r="A98" s="1493" t="s">
        <v>584</v>
      </c>
      <c r="B98" s="521"/>
      <c r="C98" s="521"/>
      <c r="D98" s="521"/>
      <c r="E98" s="521"/>
      <c r="F98" s="521"/>
      <c r="G98" s="521"/>
    </row>
    <row r="99" spans="1:7" s="901" customFormat="1" ht="13.2">
      <c r="A99" s="369" t="s">
        <v>585</v>
      </c>
      <c r="B99" s="523">
        <f>'Sources and Uses Budget'!C98</f>
        <v>2172996</v>
      </c>
      <c r="C99" s="523">
        <f>'Sources and Uses Budget'!C98</f>
        <v>2172996</v>
      </c>
      <c r="D99" s="523">
        <f>'Sources and Uses Budget'!C98</f>
        <v>2172996</v>
      </c>
      <c r="E99" s="525">
        <f t="shared" si="6"/>
        <v>0</v>
      </c>
      <c r="F99" s="524"/>
      <c r="G99" s="524"/>
    </row>
    <row r="100" spans="1:7" s="901" customFormat="1" ht="12" customHeight="1">
      <c r="A100" s="369" t="s">
        <v>2318</v>
      </c>
      <c r="B100" s="523">
        <f>'Sources and Uses Budget'!C99</f>
        <v>0</v>
      </c>
      <c r="C100" s="523">
        <f>'Sources and Uses Budget'!C99</f>
        <v>0</v>
      </c>
      <c r="D100" s="523">
        <f>'Sources and Uses Budget'!C99</f>
        <v>0</v>
      </c>
      <c r="E100" s="525">
        <f t="shared" si="6"/>
        <v>0</v>
      </c>
      <c r="F100" s="524"/>
      <c r="G100" s="524"/>
    </row>
    <row r="101" spans="1:7" s="901" customFormat="1" ht="13.2">
      <c r="A101" s="369" t="s">
        <v>586</v>
      </c>
      <c r="B101" s="523">
        <f>'Sources and Uses Budget'!C100</f>
        <v>0</v>
      </c>
      <c r="C101" s="523">
        <f>'Sources and Uses Budget'!C100</f>
        <v>0</v>
      </c>
      <c r="D101" s="523">
        <f>'Sources and Uses Budget'!C100</f>
        <v>0</v>
      </c>
      <c r="E101" s="525">
        <f t="shared" si="6"/>
        <v>0</v>
      </c>
      <c r="F101" s="524"/>
      <c r="G101" s="524"/>
    </row>
    <row r="102" spans="1:7" s="901" customFormat="1" ht="13.2">
      <c r="A102" s="369" t="s">
        <v>2319</v>
      </c>
      <c r="B102" s="523">
        <f>'Sources and Uses Budget'!C101</f>
        <v>0</v>
      </c>
      <c r="C102" s="523">
        <f>'Sources and Uses Budget'!C101</f>
        <v>0</v>
      </c>
      <c r="D102" s="523">
        <f>'Sources and Uses Budget'!C101</f>
        <v>0</v>
      </c>
      <c r="E102" s="525">
        <f t="shared" si="6"/>
        <v>0</v>
      </c>
      <c r="F102" s="524"/>
      <c r="G102" s="524"/>
    </row>
    <row r="103" spans="1:7" s="901" customFormat="1" ht="13.2">
      <c r="A103" s="1500" t="s">
        <v>592</v>
      </c>
      <c r="B103" s="523">
        <f>'Sources and Uses Budget'!C102</f>
        <v>0</v>
      </c>
      <c r="C103" s="523">
        <f>'Sources and Uses Budget'!C102</f>
        <v>0</v>
      </c>
      <c r="D103" s="523">
        <f>'Sources and Uses Budget'!C102</f>
        <v>0</v>
      </c>
      <c r="E103" s="525">
        <f t="shared" si="6"/>
        <v>0</v>
      </c>
      <c r="F103" s="524"/>
      <c r="G103" s="524"/>
    </row>
    <row r="104" spans="1:7" s="901" customFormat="1" ht="13.2">
      <c r="A104" s="1498" t="s">
        <v>587</v>
      </c>
      <c r="B104" s="1505">
        <f>'Sources and Uses Budget'!C103</f>
        <v>2172996</v>
      </c>
      <c r="C104" s="1505">
        <f>'Sources and Uses Budget'!C103</f>
        <v>2172996</v>
      </c>
      <c r="D104" s="1505">
        <f>'Sources and Uses Budget'!C103</f>
        <v>2172996</v>
      </c>
      <c r="E104" s="525">
        <f t="shared" si="6"/>
        <v>0</v>
      </c>
      <c r="F104" s="524"/>
      <c r="G104" s="524"/>
    </row>
    <row r="105" spans="1:7" s="901" customFormat="1" ht="13.2">
      <c r="A105" s="1498" t="s">
        <v>588</v>
      </c>
      <c r="B105" s="1505">
        <f>'Sources and Uses Budget'!C104</f>
        <v>23347481</v>
      </c>
      <c r="C105" s="1505">
        <f>'Sources and Uses Budget'!C104</f>
        <v>23347481</v>
      </c>
      <c r="D105" s="1505">
        <f>'Sources and Uses Budget'!C104</f>
        <v>23347481</v>
      </c>
      <c r="E105" s="525">
        <f t="shared" si="6"/>
        <v>0</v>
      </c>
      <c r="F105" s="524"/>
      <c r="G105" s="1504"/>
    </row>
    <row r="106" spans="1:7" s="901" customFormat="1" ht="13.2">
      <c r="A106" s="530" t="s">
        <v>589</v>
      </c>
      <c r="B106" s="566"/>
      <c r="C106" s="531"/>
      <c r="D106" s="532"/>
      <c r="E106" s="567"/>
      <c r="F106" s="522"/>
      <c r="G106" s="529"/>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Split"/>
      <selection pane="bottomRight"/>
      <rowBreaks count="1" manualBreakCount="1">
        <brk id="63" max="14" man="1"/>
      </rowBreaks>
      <pageMargins left="0.7" right="0.7" top="0.75" bottom="0.75" header="0.3" footer="0.3"/>
      <printOptions horizontalCentered="1"/>
      <pageSetup scale="65" firstPageNumber="22" fitToHeight="3" orientation="portrait" useFirstPageNumber="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1"/>
  <headerFooter alignWithMargins="0">
    <oddFooter>Page &amp;P&amp;R&amp;A</oddFooter>
  </headerFooter>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21</vt:i4>
      </vt:variant>
    </vt:vector>
  </HeadingPairs>
  <TitlesOfParts>
    <vt:vector size="38" baseType="lpstr">
      <vt:lpstr>Instructions-App Completion</vt:lpstr>
      <vt:lpstr>Instructions-Electronic Submit</vt:lpstr>
      <vt:lpstr>Checklist Items</vt:lpstr>
      <vt:lpstr>Application</vt:lpstr>
      <vt:lpstr>Sources and Uses Budget</vt:lpstr>
      <vt:lpstr>Sources and Basis Breakdown</vt:lpstr>
      <vt:lpstr>Basis &amp; Credits</vt:lpstr>
      <vt:lpstr>Points System</vt:lpstr>
      <vt:lpstr>Service Amenities Budget</vt:lpstr>
      <vt:lpstr>Final Tie Breaker </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'15 Year Pro Forma'!Print_Area</vt:lpstr>
      <vt:lpstr>'Basis &amp; Credits'!Print_Area</vt:lpstr>
      <vt:lpstr>'Checklist Items'!Print_Area</vt:lpstr>
      <vt:lpstr>'FCE Basis and Credits'!Print_Area</vt:lpstr>
      <vt:lpstr>'Final Tie Breaker '!Print_Area</vt:lpstr>
      <vt:lpstr>'Instructions-App Completion'!Print_Area</vt:lpstr>
      <vt:lpstr>'Instructions-Electronic Submit'!Print_Area</vt:lpstr>
      <vt:lpstr>'Post-award Instructions'!Print_Area</vt:lpstr>
      <vt:lpstr>'Post-award Project Cost Changes'!Print_Area</vt:lpstr>
      <vt:lpstr>'SCE Basis and Credits'!Print_Area</vt:lpstr>
      <vt:lpstr>'Service Amenities Budget'!Print_Area</vt:lpstr>
      <vt:lpstr>'Sources and Basis Breakdown'!Print_Area</vt:lpstr>
      <vt:lpstr>'Sources and Uses Budget'!Print_Area</vt:lpstr>
      <vt:lpstr>'Subsidy Contract Calculation'!Print_Area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Michael Duarte</cp:lastModifiedBy>
  <cp:lastPrinted>2021-03-04T17:12:28Z</cp:lastPrinted>
  <dcterms:created xsi:type="dcterms:W3CDTF">2007-12-27T18:26:28Z</dcterms:created>
  <dcterms:modified xsi:type="dcterms:W3CDTF">2021-03-08T23:05:08Z</dcterms:modified>
</cp:coreProperties>
</file>